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ze-fs1\T386\Public Space - PCPS\Projects and Task Forces\Tool Kits\NFP\Resources\Ready for Web Team\"/>
    </mc:Choice>
  </mc:AlternateContent>
  <bookViews>
    <workbookView xWindow="0" yWindow="0" windowWidth="24000" windowHeight="9210"/>
  </bookViews>
  <sheets>
    <sheet name="Statement of financial position" sheetId="1" r:id="rId1"/>
    <sheet name="Statement of activities - CY" sheetId="2" r:id="rId2"/>
    <sheet name="Statement of activities - PY" sheetId="3" r:id="rId3"/>
    <sheet name="Statements of Functional Expens" sheetId="10" r:id="rId4"/>
    <sheet name="Statement of cash flows indirec" sheetId="4" r:id="rId5"/>
    <sheet name="Statement of cash flows direct" sheetId="5" r:id="rId6"/>
    <sheet name="Accounting policies" sheetId="9" r:id="rId7"/>
    <sheet name="Liquidity" sheetId="8" r:id="rId8"/>
    <sheet name="Investment footnote" sheetId="6" r:id="rId9"/>
    <sheet name="Net Assets footnote" sheetId="7" r:id="rId10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7" l="1"/>
  <c r="F3" i="7"/>
  <c r="K12" i="5" l="1"/>
  <c r="K4" i="5" l="1"/>
  <c r="K20" i="4" l="1"/>
  <c r="K8" i="4"/>
  <c r="J12" i="10" l="1"/>
  <c r="J13" i="10"/>
  <c r="H5" i="2" l="1"/>
  <c r="H7" i="2"/>
  <c r="S17" i="2"/>
  <c r="K13" i="5" l="1"/>
  <c r="K21" i="4"/>
  <c r="H4" i="7" l="1"/>
  <c r="M9" i="4" l="1"/>
  <c r="H24" i="10" l="1"/>
  <c r="F24" i="10"/>
  <c r="H6" i="10"/>
  <c r="F6" i="10"/>
  <c r="H5" i="3" l="1"/>
  <c r="R10" i="7" l="1"/>
  <c r="P10" i="7"/>
  <c r="L5" i="2"/>
  <c r="F7" i="10" l="1"/>
  <c r="L7" i="10" s="1"/>
  <c r="F5" i="10"/>
  <c r="L5" i="10" s="1"/>
  <c r="F23" i="10"/>
  <c r="L23" i="10" s="1"/>
  <c r="J34" i="10"/>
  <c r="H34" i="10"/>
  <c r="L24" i="10"/>
  <c r="L27" i="10"/>
  <c r="L25" i="10"/>
  <c r="L26" i="10"/>
  <c r="L30" i="10"/>
  <c r="L28" i="10"/>
  <c r="L29" i="10"/>
  <c r="L31" i="10"/>
  <c r="L32" i="10"/>
  <c r="L8" i="10"/>
  <c r="L9" i="10"/>
  <c r="L10" i="10"/>
  <c r="L11" i="10"/>
  <c r="L12" i="10"/>
  <c r="L13" i="10"/>
  <c r="L14" i="10"/>
  <c r="L6" i="10"/>
  <c r="J16" i="10"/>
  <c r="H16" i="10"/>
  <c r="L13" i="3"/>
  <c r="L14" i="2"/>
  <c r="F16" i="10" l="1"/>
  <c r="L34" i="10"/>
  <c r="L16" i="10"/>
  <c r="F34" i="10"/>
  <c r="K12" i="8"/>
  <c r="I12" i="8"/>
  <c r="K5" i="8"/>
  <c r="I5" i="8"/>
  <c r="H6" i="7"/>
  <c r="F6" i="7"/>
  <c r="K14" i="8" l="1"/>
  <c r="I14" i="8"/>
  <c r="P21" i="6"/>
  <c r="N21" i="6"/>
  <c r="R19" i="6"/>
  <c r="R18" i="6"/>
  <c r="R17" i="6"/>
  <c r="R16" i="6"/>
  <c r="P10" i="6"/>
  <c r="N10" i="6"/>
  <c r="R8" i="6"/>
  <c r="R7" i="6"/>
  <c r="R6" i="6"/>
  <c r="R5" i="6"/>
  <c r="F8" i="6"/>
  <c r="D8" i="6"/>
  <c r="K9" i="5"/>
  <c r="M9" i="5"/>
  <c r="M18" i="5" s="1"/>
  <c r="M22" i="5" s="1"/>
  <c r="M16" i="5"/>
  <c r="K16" i="5"/>
  <c r="M24" i="4"/>
  <c r="K24" i="4"/>
  <c r="M17" i="4"/>
  <c r="K9" i="4"/>
  <c r="K17" i="4" s="1"/>
  <c r="L26" i="3"/>
  <c r="J28" i="3"/>
  <c r="H28" i="3"/>
  <c r="L32" i="3"/>
  <c r="J19" i="3"/>
  <c r="H19" i="3"/>
  <c r="L17" i="3"/>
  <c r="L16" i="3"/>
  <c r="J21" i="3"/>
  <c r="J10" i="3"/>
  <c r="H10" i="3"/>
  <c r="L8" i="3"/>
  <c r="L7" i="3"/>
  <c r="L6" i="3"/>
  <c r="L5" i="3"/>
  <c r="L33" i="2"/>
  <c r="H29" i="2"/>
  <c r="J29" i="2"/>
  <c r="L27" i="2"/>
  <c r="L29" i="2" s="1"/>
  <c r="H20" i="2"/>
  <c r="H22" i="2" s="1"/>
  <c r="J20" i="2"/>
  <c r="J22" i="2" s="1"/>
  <c r="L18" i="2"/>
  <c r="L17" i="2"/>
  <c r="J11" i="2"/>
  <c r="H11" i="2"/>
  <c r="L6" i="2"/>
  <c r="L7" i="2"/>
  <c r="L8" i="2"/>
  <c r="L9" i="2"/>
  <c r="I26" i="1"/>
  <c r="I28" i="1" s="1"/>
  <c r="G26" i="1"/>
  <c r="I20" i="1"/>
  <c r="G20" i="1"/>
  <c r="I11" i="1"/>
  <c r="G11" i="1"/>
  <c r="K26" i="4" l="1"/>
  <c r="K30" i="4" s="1"/>
  <c r="K18" i="5"/>
  <c r="G28" i="1"/>
  <c r="J24" i="2"/>
  <c r="L28" i="3"/>
  <c r="H24" i="2"/>
  <c r="H31" i="2" s="1"/>
  <c r="H35" i="2" s="1"/>
  <c r="L20" i="2"/>
  <c r="L22" i="2" s="1"/>
  <c r="J31" i="2"/>
  <c r="J35" i="2" s="1"/>
  <c r="R21" i="6"/>
  <c r="R10" i="6"/>
  <c r="K22" i="5"/>
  <c r="M26" i="4"/>
  <c r="M30" i="4" s="1"/>
  <c r="J23" i="3"/>
  <c r="J30" i="3" s="1"/>
  <c r="J34" i="3" s="1"/>
  <c r="H21" i="3"/>
  <c r="L10" i="3"/>
  <c r="L19" i="3"/>
  <c r="L21" i="3" s="1"/>
  <c r="H23" i="3"/>
  <c r="H30" i="3" s="1"/>
  <c r="H34" i="3" s="1"/>
  <c r="L11" i="2"/>
  <c r="L24" i="2" s="1"/>
  <c r="L31" i="2" l="1"/>
  <c r="L35" i="2" s="1"/>
  <c r="L23" i="3"/>
  <c r="L30" i="3" s="1"/>
  <c r="L34" i="3" s="1"/>
</calcChain>
</file>

<file path=xl/sharedStrings.xml><?xml version="1.0" encoding="utf-8"?>
<sst xmlns="http://schemas.openxmlformats.org/spreadsheetml/2006/main" count="229" uniqueCount="117">
  <si>
    <t>ASSETS</t>
  </si>
  <si>
    <t>Cash and cash equivalents</t>
  </si>
  <si>
    <t>Due from related parties</t>
  </si>
  <si>
    <t>Prepaid expenses and other assets</t>
  </si>
  <si>
    <t>Investments</t>
  </si>
  <si>
    <t>Property and equipment, net</t>
  </si>
  <si>
    <t>Total assets</t>
  </si>
  <si>
    <t>LIABILITIES AND NET ASSETS</t>
  </si>
  <si>
    <t>LIABILITIES</t>
  </si>
  <si>
    <t>Accounts payable and accrued expenses</t>
  </si>
  <si>
    <t>Due to related parties</t>
  </si>
  <si>
    <t>Other liabilities</t>
  </si>
  <si>
    <t>Total liabilities</t>
  </si>
  <si>
    <t>NET ASSETS</t>
  </si>
  <si>
    <t>Without donor restrictions</t>
  </si>
  <si>
    <t>With donor restrictions</t>
  </si>
  <si>
    <t>Total net assets</t>
  </si>
  <si>
    <t>Total liabilities and net assets</t>
  </si>
  <si>
    <t>20XX</t>
  </si>
  <si>
    <t>Contributions receivable</t>
  </si>
  <si>
    <t>REVENUES AND OTHER SUPPORT</t>
  </si>
  <si>
    <t>Contributions</t>
  </si>
  <si>
    <t>Contributions - from related parties</t>
  </si>
  <si>
    <t>Contributions - donation in-kind</t>
  </si>
  <si>
    <t>Interest and dividends</t>
  </si>
  <si>
    <t>Net assets released from restrictions</t>
  </si>
  <si>
    <t>Total revenues and other support</t>
  </si>
  <si>
    <t>EXPENSES</t>
  </si>
  <si>
    <t xml:space="preserve">Management and general </t>
  </si>
  <si>
    <t>Fundraising</t>
  </si>
  <si>
    <t>Total support services</t>
  </si>
  <si>
    <t>Change in net assets from operations</t>
  </si>
  <si>
    <t>Nonoperating activities</t>
  </si>
  <si>
    <t>Total nonoperating activities</t>
  </si>
  <si>
    <t>Change in net assets</t>
  </si>
  <si>
    <t>Net assets, beginning of year</t>
  </si>
  <si>
    <t>Net assets, end of year</t>
  </si>
  <si>
    <t>Restrictions</t>
  </si>
  <si>
    <t>Total</t>
  </si>
  <si>
    <t>Without Donor</t>
  </si>
  <si>
    <t>With Donor</t>
  </si>
  <si>
    <t>Total expenses</t>
  </si>
  <si>
    <t>CASH FLOWS FROM OPERATING ACTIVITIES</t>
  </si>
  <si>
    <t>Depreciation</t>
  </si>
  <si>
    <t>Donated securities</t>
  </si>
  <si>
    <t>Adjustments to reconcile change in net assets to net</t>
  </si>
  <si>
    <t>(Increase) decrease in prepaid expenses and other assets</t>
  </si>
  <si>
    <t>Increase (decrease) in accounts payable and accrued expenses</t>
  </si>
  <si>
    <t>(Decrease) increase in other liabilities</t>
  </si>
  <si>
    <t>Net cash provided by (used in) operating activities</t>
  </si>
  <si>
    <t>CASH FLOWS FROM INVESTING ACTIVITIES</t>
  </si>
  <si>
    <t>Purchase of fixed assets</t>
  </si>
  <si>
    <t>Purchase of investments</t>
  </si>
  <si>
    <t>Net cash used in investing activities</t>
  </si>
  <si>
    <t>Net increase (decrease) in cash</t>
  </si>
  <si>
    <t>Net depreciation (appreciation) on investments</t>
  </si>
  <si>
    <t>Decrease (increase) in contributions receivable</t>
  </si>
  <si>
    <t>Decrease in due to/from related parties</t>
  </si>
  <si>
    <t>Net increase (decrease) in cash and cash equivalents</t>
  </si>
  <si>
    <t>Cash and cash equivalents, beginning of year</t>
  </si>
  <si>
    <t>Cash and cash equivalents, end of year</t>
  </si>
  <si>
    <t>INDIRECT METHOD</t>
  </si>
  <si>
    <t>DIRECT METHOD</t>
  </si>
  <si>
    <t>Cash received from contributions</t>
  </si>
  <si>
    <t>Cash payments from related parties, net</t>
  </si>
  <si>
    <t>Interest and dividends received</t>
  </si>
  <si>
    <t>Cash and equivalents</t>
  </si>
  <si>
    <t>Equity funds</t>
  </si>
  <si>
    <t>Bond funds</t>
  </si>
  <si>
    <t>Realized gain on investments</t>
  </si>
  <si>
    <t>Unrealized loss on investments</t>
  </si>
  <si>
    <t>Investment fees</t>
  </si>
  <si>
    <t>Net investment loss</t>
  </si>
  <si>
    <t>Net investment income</t>
  </si>
  <si>
    <t>Unrealized gain on investments</t>
  </si>
  <si>
    <t>Undesignated</t>
  </si>
  <si>
    <t>Quasi endowment</t>
  </si>
  <si>
    <t>Satisfaction of Purpose Restrictions</t>
  </si>
  <si>
    <t>Financial assets at year end:</t>
  </si>
  <si>
    <t>Less amounts not available to be used within one year:</t>
  </si>
  <si>
    <t>Net assets with donor restrictions</t>
  </si>
  <si>
    <t>Total financial assets</t>
  </si>
  <si>
    <t>over the next twelve months</t>
  </si>
  <si>
    <t>Expense</t>
  </si>
  <si>
    <t>Occupancy</t>
  </si>
  <si>
    <t>Square Footage</t>
  </si>
  <si>
    <t>Full Time Equivalent</t>
  </si>
  <si>
    <t>Method of Allocation</t>
  </si>
  <si>
    <t>Operating activities</t>
  </si>
  <si>
    <t>Supporting services:</t>
  </si>
  <si>
    <t>cash provided by (used in) operating activities:</t>
  </si>
  <si>
    <t>Cash payments to employees and vendors</t>
  </si>
  <si>
    <t>Investment return, net</t>
  </si>
  <si>
    <t>Proceeds from sales and maturities of investments</t>
  </si>
  <si>
    <t>Bond index funds</t>
  </si>
  <si>
    <t xml:space="preserve">Financial assets available to meet general expenditures </t>
  </si>
  <si>
    <t>Grants</t>
  </si>
  <si>
    <t>Salaries and benefits</t>
  </si>
  <si>
    <t>Education and awareness</t>
  </si>
  <si>
    <t>Professional services</t>
  </si>
  <si>
    <t>Printing</t>
  </si>
  <si>
    <t xml:space="preserve">Travel </t>
  </si>
  <si>
    <t>Other</t>
  </si>
  <si>
    <t>Travel</t>
  </si>
  <si>
    <t>Services</t>
  </si>
  <si>
    <t>and General</t>
  </si>
  <si>
    <t>Management</t>
  </si>
  <si>
    <t>Animal</t>
  </si>
  <si>
    <t>Animal services</t>
  </si>
  <si>
    <t>Information technologies</t>
  </si>
  <si>
    <t>Time and effort</t>
  </si>
  <si>
    <t>Specific Purpose</t>
  </si>
  <si>
    <t>Passage of Time</t>
  </si>
  <si>
    <t>Less net assets with purpose restrictions to be met in</t>
  </si>
  <si>
    <t xml:space="preserve"> less than a year</t>
  </si>
  <si>
    <t>Stock index funds</t>
  </si>
  <si>
    <t>Quasi endowment established by the 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</si>
</sst>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164" fontId="2" fillId="0" borderId="0" xfId="2" applyNumberFormat="1" applyFont="1" applyBorder="1"/>
    <xf numFmtId="165" fontId="2" fillId="0" borderId="0" xfId="1" applyNumberFormat="1" applyFont="1" applyBorder="1"/>
    <xf numFmtId="165" fontId="2" fillId="0" borderId="1" xfId="1" applyNumberFormat="1" applyFont="1" applyBorder="1"/>
    <xf numFmtId="164" fontId="2" fillId="0" borderId="2" xfId="2" applyNumberFormat="1" applyFont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164" fontId="2" fillId="0" borderId="0" xfId="2" applyNumberFormat="1" applyFont="1"/>
    <xf numFmtId="165" fontId="2" fillId="0" borderId="0" xfId="1" applyNumberFormat="1" applyFont="1"/>
    <xf numFmtId="165" fontId="2" fillId="0" borderId="1" xfId="0" applyNumberFormat="1" applyFont="1" applyBorder="1"/>
    <xf numFmtId="0" fontId="2" fillId="0" borderId="5" xfId="0" applyFont="1" applyBorder="1" applyAlignment="1">
      <alignment horizontal="center"/>
    </xf>
    <xf numFmtId="0" fontId="2" fillId="0" borderId="1" xfId="0" applyFont="1" applyBorder="1"/>
    <xf numFmtId="0" fontId="2" fillId="0" borderId="4" xfId="0" applyFont="1" applyBorder="1"/>
    <xf numFmtId="0" fontId="2" fillId="0" borderId="0" xfId="0" applyFont="1" applyFill="1" applyBorder="1"/>
    <xf numFmtId="0" fontId="2" fillId="0" borderId="0" xfId="0" applyFont="1" applyAlignment="1">
      <alignment horizontal="center"/>
    </xf>
    <xf numFmtId="164" fontId="2" fillId="0" borderId="0" xfId="0" applyNumberFormat="1" applyFont="1" applyBorder="1"/>
    <xf numFmtId="0" fontId="2" fillId="0" borderId="0" xfId="0" applyFont="1" applyAlignment="1">
      <alignment horizontal="right"/>
    </xf>
    <xf numFmtId="165" fontId="2" fillId="0" borderId="3" xfId="0" applyNumberFormat="1" applyFont="1" applyBorder="1"/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164" fontId="2" fillId="0" borderId="0" xfId="2" applyNumberFormat="1" applyFont="1" applyFill="1"/>
    <xf numFmtId="165" fontId="2" fillId="0" borderId="0" xfId="1" applyNumberFormat="1" applyFont="1" applyFill="1"/>
    <xf numFmtId="165" fontId="2" fillId="0" borderId="1" xfId="1" applyNumberFormat="1" applyFont="1" applyFill="1" applyBorder="1"/>
    <xf numFmtId="164" fontId="2" fillId="0" borderId="2" xfId="2" applyNumberFormat="1" applyFont="1" applyFill="1" applyBorder="1"/>
    <xf numFmtId="164" fontId="2" fillId="0" borderId="6" xfId="2" applyNumberFormat="1" applyFont="1" applyBorder="1"/>
    <xf numFmtId="0" fontId="2" fillId="0" borderId="1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25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7C9DD80-BE97-4592-8E51-7346F7B81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43600" cy="457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6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5232610-BF1D-4205-9300-B4E6D02C0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4360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9"/>
  <sheetViews>
    <sheetView showGridLines="0" tabSelected="1" workbookViewId="0">
      <selection activeCell="K17" sqref="K17"/>
    </sheetView>
  </sheetViews>
  <sheetFormatPr defaultColWidth="9.140625" defaultRowHeight="13.5" x14ac:dyDescent="0.2"/>
  <cols>
    <col min="1" max="2" width="3.42578125" style="1" customWidth="1"/>
    <col min="3" max="6" width="9.140625" style="1"/>
    <col min="7" max="7" width="14.42578125" style="1" bestFit="1" customWidth="1"/>
    <col min="8" max="8" width="3.42578125" style="1" customWidth="1"/>
    <col min="9" max="9" width="14.28515625" style="1" bestFit="1" customWidth="1"/>
    <col min="10" max="16384" width="9.140625" style="1"/>
  </cols>
  <sheetData>
    <row r="2" spans="1:9" x14ac:dyDescent="0.2">
      <c r="G2" s="2" t="s">
        <v>18</v>
      </c>
      <c r="I2" s="2" t="s">
        <v>18</v>
      </c>
    </row>
    <row r="3" spans="1:9" x14ac:dyDescent="0.2">
      <c r="A3" s="1" t="s">
        <v>0</v>
      </c>
    </row>
    <row r="4" spans="1:9" x14ac:dyDescent="0.2">
      <c r="B4" s="1" t="s">
        <v>1</v>
      </c>
      <c r="G4" s="3">
        <v>1740000</v>
      </c>
      <c r="I4" s="3">
        <v>920000</v>
      </c>
    </row>
    <row r="5" spans="1:9" x14ac:dyDescent="0.2">
      <c r="B5" s="1" t="s">
        <v>19</v>
      </c>
      <c r="G5" s="4">
        <v>244000</v>
      </c>
      <c r="H5" s="4"/>
      <c r="I5" s="4">
        <v>409000</v>
      </c>
    </row>
    <row r="6" spans="1:9" x14ac:dyDescent="0.2">
      <c r="B6" s="1" t="s">
        <v>2</v>
      </c>
      <c r="G6" s="4">
        <v>0</v>
      </c>
      <c r="H6" s="4"/>
      <c r="I6" s="4">
        <v>90000</v>
      </c>
    </row>
    <row r="7" spans="1:9" x14ac:dyDescent="0.2">
      <c r="B7" s="1" t="s">
        <v>3</v>
      </c>
      <c r="G7" s="4">
        <v>170000</v>
      </c>
      <c r="H7" s="4"/>
      <c r="I7" s="4">
        <v>169000</v>
      </c>
    </row>
    <row r="8" spans="1:9" x14ac:dyDescent="0.2">
      <c r="B8" s="1" t="s">
        <v>4</v>
      </c>
      <c r="G8" s="4">
        <v>1158000</v>
      </c>
      <c r="H8" s="4"/>
      <c r="I8" s="4">
        <v>677000</v>
      </c>
    </row>
    <row r="9" spans="1:9" x14ac:dyDescent="0.2">
      <c r="B9" s="1" t="s">
        <v>5</v>
      </c>
      <c r="G9" s="5">
        <v>151000</v>
      </c>
      <c r="H9" s="4"/>
      <c r="I9" s="5">
        <v>207000</v>
      </c>
    </row>
    <row r="11" spans="1:9" ht="14.25" thickBot="1" x14ac:dyDescent="0.25">
      <c r="C11" s="1" t="s">
        <v>6</v>
      </c>
      <c r="G11" s="6">
        <f>SUM(G4:G9)</f>
        <v>3463000</v>
      </c>
      <c r="I11" s="6">
        <f>SUM(I4:I9)</f>
        <v>2472000</v>
      </c>
    </row>
    <row r="12" spans="1:9" ht="14.25" thickTop="1" x14ac:dyDescent="0.2">
      <c r="G12" s="3"/>
      <c r="I12" s="3"/>
    </row>
    <row r="13" spans="1:9" x14ac:dyDescent="0.2">
      <c r="A13" s="1" t="s">
        <v>7</v>
      </c>
    </row>
    <row r="15" spans="1:9" x14ac:dyDescent="0.2">
      <c r="A15" s="1" t="s">
        <v>8</v>
      </c>
    </row>
    <row r="16" spans="1:9" x14ac:dyDescent="0.2">
      <c r="B16" s="1" t="s">
        <v>9</v>
      </c>
      <c r="G16" s="3">
        <v>373000</v>
      </c>
      <c r="I16" s="3">
        <v>219000</v>
      </c>
    </row>
    <row r="17" spans="1:9" x14ac:dyDescent="0.2">
      <c r="B17" s="1" t="s">
        <v>10</v>
      </c>
      <c r="G17" s="4">
        <v>303000</v>
      </c>
      <c r="H17" s="4"/>
      <c r="I17" s="4">
        <v>0</v>
      </c>
    </row>
    <row r="18" spans="1:9" x14ac:dyDescent="0.2">
      <c r="B18" s="1" t="s">
        <v>11</v>
      </c>
      <c r="G18" s="5">
        <v>143000</v>
      </c>
      <c r="H18" s="4"/>
      <c r="I18" s="5">
        <v>147000</v>
      </c>
    </row>
    <row r="19" spans="1:9" x14ac:dyDescent="0.2">
      <c r="G19" s="4"/>
      <c r="H19" s="4"/>
      <c r="I19" s="4"/>
    </row>
    <row r="20" spans="1:9" x14ac:dyDescent="0.2">
      <c r="C20" s="1" t="s">
        <v>12</v>
      </c>
      <c r="G20" s="5">
        <f>SUM(G16:G18)</f>
        <v>819000</v>
      </c>
      <c r="H20" s="4"/>
      <c r="I20" s="5">
        <f>SUM(I16:I18)</f>
        <v>366000</v>
      </c>
    </row>
    <row r="21" spans="1:9" x14ac:dyDescent="0.2">
      <c r="G21" s="4"/>
      <c r="H21" s="4"/>
      <c r="I21" s="4"/>
    </row>
    <row r="22" spans="1:9" x14ac:dyDescent="0.2">
      <c r="A22" s="1" t="s">
        <v>13</v>
      </c>
      <c r="G22" s="4"/>
      <c r="H22" s="4"/>
      <c r="I22" s="4"/>
    </row>
    <row r="23" spans="1:9" x14ac:dyDescent="0.2">
      <c r="B23" s="1" t="s">
        <v>14</v>
      </c>
      <c r="G23" s="4">
        <v>1599000</v>
      </c>
      <c r="H23" s="4"/>
      <c r="I23" s="4">
        <v>914000</v>
      </c>
    </row>
    <row r="24" spans="1:9" x14ac:dyDescent="0.2">
      <c r="B24" s="1" t="s">
        <v>15</v>
      </c>
      <c r="G24" s="5">
        <v>1045000</v>
      </c>
      <c r="H24" s="4"/>
      <c r="I24" s="5">
        <v>1192000</v>
      </c>
    </row>
    <row r="25" spans="1:9" x14ac:dyDescent="0.2">
      <c r="G25" s="4"/>
      <c r="H25" s="4"/>
      <c r="I25" s="4"/>
    </row>
    <row r="26" spans="1:9" x14ac:dyDescent="0.2">
      <c r="C26" s="1" t="s">
        <v>16</v>
      </c>
      <c r="G26" s="5">
        <f>SUM(G23:G24)</f>
        <v>2644000</v>
      </c>
      <c r="H26" s="4"/>
      <c r="I26" s="5">
        <f>SUM(I23:I24)</f>
        <v>2106000</v>
      </c>
    </row>
    <row r="27" spans="1:9" x14ac:dyDescent="0.2">
      <c r="G27" s="4"/>
      <c r="H27" s="4"/>
      <c r="I27" s="4"/>
    </row>
    <row r="28" spans="1:9" ht="14.25" thickBot="1" x14ac:dyDescent="0.25">
      <c r="C28" s="1" t="s">
        <v>17</v>
      </c>
      <c r="G28" s="6">
        <f>G26+G20</f>
        <v>3463000</v>
      </c>
      <c r="I28" s="6">
        <f>I26+I20</f>
        <v>2472000</v>
      </c>
    </row>
    <row r="29" spans="1:9" ht="14.25" thickTop="1" x14ac:dyDescent="0.2"/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2"/>
  <sheetViews>
    <sheetView showGridLines="0" workbookViewId="0">
      <selection activeCell="D20" sqref="D20"/>
    </sheetView>
  </sheetViews>
  <sheetFormatPr defaultColWidth="9.140625" defaultRowHeight="13.5" x14ac:dyDescent="0.2"/>
  <cols>
    <col min="1" max="1" width="3.140625" style="7" customWidth="1"/>
    <col min="2" max="3" width="9.140625" style="7"/>
    <col min="4" max="4" width="15" style="7" customWidth="1"/>
    <col min="5" max="5" width="2.28515625" style="7" customWidth="1"/>
    <col min="6" max="6" width="14.28515625" style="7" bestFit="1" customWidth="1"/>
    <col min="7" max="7" width="2.85546875" style="7" customWidth="1"/>
    <col min="8" max="8" width="14.28515625" style="7" bestFit="1" customWidth="1"/>
    <col min="9" max="11" width="9.140625" style="7"/>
    <col min="12" max="12" width="3" style="7" customWidth="1"/>
    <col min="13" max="15" width="9.140625" style="7"/>
    <col min="16" max="16" width="14.28515625" style="7" bestFit="1" customWidth="1"/>
    <col min="17" max="17" width="1.7109375" style="7" customWidth="1"/>
    <col min="18" max="18" width="12.28515625" style="7" bestFit="1" customWidth="1"/>
    <col min="19" max="16384" width="9.140625" style="7"/>
  </cols>
  <sheetData>
    <row r="2" spans="1:18" x14ac:dyDescent="0.2">
      <c r="F2" s="2" t="s">
        <v>18</v>
      </c>
      <c r="H2" s="2" t="s">
        <v>18</v>
      </c>
    </row>
    <row r="3" spans="1:18" x14ac:dyDescent="0.2">
      <c r="A3" s="7" t="s">
        <v>75</v>
      </c>
      <c r="F3" s="9">
        <f>151000+1243000</f>
        <v>1394000</v>
      </c>
      <c r="H3" s="9">
        <f>207000+577000</f>
        <v>784000</v>
      </c>
      <c r="P3" s="2" t="s">
        <v>18</v>
      </c>
      <c r="R3" s="2" t="s">
        <v>18</v>
      </c>
    </row>
    <row r="4" spans="1:18" x14ac:dyDescent="0.2">
      <c r="A4" s="7" t="s">
        <v>76</v>
      </c>
      <c r="F4" s="5">
        <v>205000</v>
      </c>
      <c r="G4" s="10"/>
      <c r="H4" s="5">
        <f>-70000+200000</f>
        <v>130000</v>
      </c>
      <c r="L4" s="7" t="s">
        <v>111</v>
      </c>
      <c r="P4" s="9"/>
      <c r="R4" s="9"/>
    </row>
    <row r="5" spans="1:18" x14ac:dyDescent="0.2">
      <c r="M5" s="7" t="s">
        <v>108</v>
      </c>
      <c r="P5" s="9">
        <v>1045000</v>
      </c>
      <c r="Q5" s="10"/>
      <c r="R5" s="9">
        <v>1185000</v>
      </c>
    </row>
    <row r="6" spans="1:18" ht="14.25" thickBot="1" x14ac:dyDescent="0.25">
      <c r="F6" s="6">
        <f>SUM(F3:F4)</f>
        <v>1599000</v>
      </c>
      <c r="H6" s="6">
        <f>SUM(H3:H4)</f>
        <v>914000</v>
      </c>
      <c r="P6" s="10"/>
      <c r="Q6" s="10"/>
      <c r="R6" s="10"/>
    </row>
    <row r="7" spans="1:18" ht="14.25" thickTop="1" x14ac:dyDescent="0.2">
      <c r="L7" s="7" t="s">
        <v>112</v>
      </c>
      <c r="P7" s="10"/>
      <c r="Q7" s="10"/>
      <c r="R7" s="10"/>
    </row>
    <row r="8" spans="1:18" x14ac:dyDescent="0.2">
      <c r="M8" s="7" t="s">
        <v>19</v>
      </c>
      <c r="P8" s="5">
        <v>0</v>
      </c>
      <c r="Q8" s="10"/>
      <c r="R8" s="5">
        <v>7000</v>
      </c>
    </row>
    <row r="9" spans="1:18" x14ac:dyDescent="0.2">
      <c r="P9" s="10"/>
      <c r="Q9" s="10"/>
      <c r="R9" s="10"/>
    </row>
    <row r="10" spans="1:18" ht="14.25" thickBot="1" x14ac:dyDescent="0.25">
      <c r="A10" s="7" t="s">
        <v>77</v>
      </c>
      <c r="F10" s="2" t="s">
        <v>18</v>
      </c>
      <c r="H10" s="2" t="s">
        <v>18</v>
      </c>
      <c r="L10" s="7" t="s">
        <v>38</v>
      </c>
      <c r="P10" s="6">
        <f>SUM(P5:P8)</f>
        <v>1045000</v>
      </c>
      <c r="Q10" s="9"/>
      <c r="R10" s="6">
        <f>SUM(R5:R8)</f>
        <v>1192000</v>
      </c>
    </row>
    <row r="11" spans="1:18" ht="15" thickTop="1" thickBot="1" x14ac:dyDescent="0.25">
      <c r="B11" s="7" t="s">
        <v>108</v>
      </c>
      <c r="F11" s="27">
        <v>662000</v>
      </c>
      <c r="H11" s="27">
        <v>325000</v>
      </c>
    </row>
    <row r="12" spans="1:18" ht="14.25" thickTop="1" x14ac:dyDescent="0.2"/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showGridLines="0" workbookViewId="0">
      <selection activeCell="H6" sqref="H6"/>
    </sheetView>
  </sheetViews>
  <sheetFormatPr defaultColWidth="9.140625" defaultRowHeight="13.5" x14ac:dyDescent="0.2"/>
  <cols>
    <col min="1" max="3" width="2.85546875" style="7" customWidth="1"/>
    <col min="4" max="6" width="9.140625" style="7"/>
    <col min="7" max="7" width="6.5703125" style="7" customWidth="1"/>
    <col min="8" max="8" width="14.140625" style="7" customWidth="1"/>
    <col min="9" max="9" width="1.7109375" style="7" customWidth="1"/>
    <col min="10" max="10" width="12.42578125" style="7" customWidth="1"/>
    <col min="11" max="11" width="1.7109375" style="7" customWidth="1"/>
    <col min="12" max="12" width="13.140625" style="7" customWidth="1"/>
    <col min="13" max="16384" width="9.140625" style="7"/>
  </cols>
  <sheetData>
    <row r="1" spans="1:12" x14ac:dyDescent="0.2">
      <c r="H1" s="8" t="s">
        <v>39</v>
      </c>
      <c r="J1" s="8" t="s">
        <v>40</v>
      </c>
      <c r="L1" s="8"/>
    </row>
    <row r="2" spans="1:12" x14ac:dyDescent="0.2">
      <c r="H2" s="2" t="s">
        <v>37</v>
      </c>
      <c r="J2" s="2" t="s">
        <v>37</v>
      </c>
      <c r="L2" s="2" t="s">
        <v>38</v>
      </c>
    </row>
    <row r="3" spans="1:12" x14ac:dyDescent="0.2">
      <c r="A3" s="7" t="s">
        <v>88</v>
      </c>
      <c r="H3" s="8"/>
      <c r="J3" s="8"/>
      <c r="L3" s="8"/>
    </row>
    <row r="4" spans="1:12" x14ac:dyDescent="0.2">
      <c r="A4" s="7" t="s">
        <v>20</v>
      </c>
    </row>
    <row r="5" spans="1:12" x14ac:dyDescent="0.2">
      <c r="B5" s="7" t="s">
        <v>21</v>
      </c>
      <c r="H5" s="9">
        <f>1540000+3081000+355000</f>
        <v>4976000</v>
      </c>
      <c r="J5" s="9">
        <v>515000</v>
      </c>
      <c r="L5" s="9">
        <f>SUM(H5:J5)</f>
        <v>5491000</v>
      </c>
    </row>
    <row r="6" spans="1:12" x14ac:dyDescent="0.2">
      <c r="B6" s="7" t="s">
        <v>22</v>
      </c>
      <c r="H6" s="10">
        <v>755000</v>
      </c>
      <c r="I6" s="10"/>
      <c r="J6" s="10">
        <v>0</v>
      </c>
      <c r="K6" s="10"/>
      <c r="L6" s="10">
        <f t="shared" ref="L6:L9" si="0">SUM(H6:J6)</f>
        <v>755000</v>
      </c>
    </row>
    <row r="7" spans="1:12" x14ac:dyDescent="0.2">
      <c r="B7" s="7" t="s">
        <v>23</v>
      </c>
      <c r="H7" s="10">
        <f>-355000+368000</f>
        <v>13000</v>
      </c>
      <c r="I7" s="10"/>
      <c r="J7" s="10">
        <v>0</v>
      </c>
      <c r="K7" s="10"/>
      <c r="L7" s="10">
        <f t="shared" si="0"/>
        <v>13000</v>
      </c>
    </row>
    <row r="8" spans="1:12" x14ac:dyDescent="0.2">
      <c r="B8" s="7" t="s">
        <v>24</v>
      </c>
      <c r="H8" s="10">
        <v>20000</v>
      </c>
      <c r="I8" s="10"/>
      <c r="J8" s="10">
        <v>9000</v>
      </c>
      <c r="K8" s="10"/>
      <c r="L8" s="10">
        <f t="shared" si="0"/>
        <v>29000</v>
      </c>
    </row>
    <row r="9" spans="1:12" x14ac:dyDescent="0.2">
      <c r="B9" s="7" t="s">
        <v>25</v>
      </c>
      <c r="H9" s="5">
        <v>662000</v>
      </c>
      <c r="I9" s="10"/>
      <c r="J9" s="5">
        <v>-662000</v>
      </c>
      <c r="K9" s="10"/>
      <c r="L9" s="5">
        <f t="shared" si="0"/>
        <v>0</v>
      </c>
    </row>
    <row r="10" spans="1:12" x14ac:dyDescent="0.2">
      <c r="H10" s="10"/>
      <c r="I10" s="10"/>
      <c r="J10" s="10"/>
      <c r="K10" s="10"/>
      <c r="L10" s="10"/>
    </row>
    <row r="11" spans="1:12" x14ac:dyDescent="0.2">
      <c r="C11" s="7" t="s">
        <v>26</v>
      </c>
      <c r="H11" s="5">
        <f>SUM(H5:H9)</f>
        <v>6426000</v>
      </c>
      <c r="I11" s="10"/>
      <c r="J11" s="5">
        <f>SUM(J5:J9)</f>
        <v>-138000</v>
      </c>
      <c r="K11" s="10"/>
      <c r="L11" s="5">
        <f>SUM(L5:L9)</f>
        <v>6288000</v>
      </c>
    </row>
    <row r="12" spans="1:12" x14ac:dyDescent="0.2">
      <c r="H12" s="10"/>
      <c r="I12" s="10"/>
      <c r="J12" s="10"/>
      <c r="K12" s="10"/>
      <c r="L12" s="10"/>
    </row>
    <row r="13" spans="1:12" x14ac:dyDescent="0.2">
      <c r="A13" s="7" t="s">
        <v>27</v>
      </c>
      <c r="H13" s="10"/>
      <c r="I13" s="10"/>
      <c r="J13" s="10"/>
      <c r="K13" s="10"/>
      <c r="L13" s="10"/>
    </row>
    <row r="14" spans="1:12" x14ac:dyDescent="0.2">
      <c r="B14" s="7" t="s">
        <v>108</v>
      </c>
      <c r="H14" s="5">
        <v>4286000</v>
      </c>
      <c r="I14" s="10"/>
      <c r="J14" s="5">
        <v>0</v>
      </c>
      <c r="K14" s="10"/>
      <c r="L14" s="5">
        <f>H14</f>
        <v>4286000</v>
      </c>
    </row>
    <row r="15" spans="1:12" x14ac:dyDescent="0.2">
      <c r="H15" s="10"/>
      <c r="I15" s="10"/>
      <c r="J15" s="10"/>
      <c r="K15" s="10"/>
      <c r="L15" s="10"/>
    </row>
    <row r="16" spans="1:12" x14ac:dyDescent="0.2">
      <c r="B16" s="7" t="s">
        <v>89</v>
      </c>
      <c r="H16" s="10"/>
      <c r="I16" s="10"/>
      <c r="J16" s="10"/>
      <c r="K16" s="10"/>
      <c r="L16" s="10"/>
    </row>
    <row r="17" spans="1:19" x14ac:dyDescent="0.2">
      <c r="C17" s="7" t="s">
        <v>28</v>
      </c>
      <c r="H17" s="10">
        <v>283000</v>
      </c>
      <c r="I17" s="10"/>
      <c r="J17" s="10">
        <v>0</v>
      </c>
      <c r="K17" s="10"/>
      <c r="L17" s="10">
        <f>J17+H17</f>
        <v>283000</v>
      </c>
      <c r="S17" s="7">
        <f>368-13</f>
        <v>355</v>
      </c>
    </row>
    <row r="18" spans="1:19" x14ac:dyDescent="0.2">
      <c r="C18" s="7" t="s">
        <v>29</v>
      </c>
      <c r="H18" s="5">
        <v>1139000</v>
      </c>
      <c r="I18" s="10"/>
      <c r="J18" s="5">
        <v>0</v>
      </c>
      <c r="K18" s="10"/>
      <c r="L18" s="5">
        <f>J18+H18</f>
        <v>1139000</v>
      </c>
    </row>
    <row r="19" spans="1:19" x14ac:dyDescent="0.2">
      <c r="H19" s="10"/>
      <c r="I19" s="10"/>
      <c r="J19" s="10"/>
      <c r="K19" s="10"/>
      <c r="L19" s="10"/>
    </row>
    <row r="20" spans="1:19" x14ac:dyDescent="0.2">
      <c r="D20" s="7" t="s">
        <v>30</v>
      </c>
      <c r="H20" s="5">
        <f>SUM(H17:H18)</f>
        <v>1422000</v>
      </c>
      <c r="I20" s="10"/>
      <c r="J20" s="5">
        <f>SUM(J17:J18)</f>
        <v>0</v>
      </c>
      <c r="K20" s="10"/>
      <c r="L20" s="5">
        <f>J20+H20</f>
        <v>1422000</v>
      </c>
    </row>
    <row r="21" spans="1:19" x14ac:dyDescent="0.2">
      <c r="H21" s="10"/>
      <c r="I21" s="10"/>
      <c r="J21" s="10"/>
      <c r="K21" s="10"/>
      <c r="L21" s="10"/>
    </row>
    <row r="22" spans="1:19" x14ac:dyDescent="0.2">
      <c r="D22" s="7" t="s">
        <v>41</v>
      </c>
      <c r="H22" s="11">
        <f>H20+H14</f>
        <v>5708000</v>
      </c>
      <c r="J22" s="11">
        <f>J20+J14</f>
        <v>0</v>
      </c>
      <c r="L22" s="11">
        <f>L20+L14</f>
        <v>5708000</v>
      </c>
    </row>
    <row r="24" spans="1:19" x14ac:dyDescent="0.2">
      <c r="D24" s="7" t="s">
        <v>31</v>
      </c>
      <c r="H24" s="5">
        <f>H11-H14-H20</f>
        <v>718000</v>
      </c>
      <c r="I24" s="10"/>
      <c r="J24" s="5">
        <f>J11-J14-J20</f>
        <v>-138000</v>
      </c>
      <c r="K24" s="10"/>
      <c r="L24" s="5">
        <f>L11-L14-L20</f>
        <v>580000</v>
      </c>
    </row>
    <row r="25" spans="1:19" x14ac:dyDescent="0.2">
      <c r="H25" s="10"/>
      <c r="I25" s="10"/>
      <c r="J25" s="10"/>
      <c r="K25" s="10"/>
      <c r="L25" s="10"/>
    </row>
    <row r="26" spans="1:19" x14ac:dyDescent="0.2">
      <c r="A26" s="7" t="s">
        <v>32</v>
      </c>
      <c r="H26" s="10"/>
      <c r="I26" s="10"/>
      <c r="J26" s="10"/>
      <c r="K26" s="10"/>
      <c r="L26" s="10"/>
    </row>
    <row r="27" spans="1:19" x14ac:dyDescent="0.2">
      <c r="B27" s="7" t="s">
        <v>92</v>
      </c>
      <c r="H27" s="5">
        <v>-33000</v>
      </c>
      <c r="I27" s="10"/>
      <c r="J27" s="5">
        <v>-9000</v>
      </c>
      <c r="K27" s="10"/>
      <c r="L27" s="5">
        <f>SUM(H27:J27)</f>
        <v>-42000</v>
      </c>
    </row>
    <row r="28" spans="1:19" x14ac:dyDescent="0.2">
      <c r="H28" s="10"/>
      <c r="I28" s="10"/>
      <c r="J28" s="10"/>
      <c r="K28" s="10"/>
      <c r="L28" s="10"/>
    </row>
    <row r="29" spans="1:19" x14ac:dyDescent="0.2">
      <c r="D29" s="7" t="s">
        <v>33</v>
      </c>
      <c r="H29" s="5">
        <f>H27</f>
        <v>-33000</v>
      </c>
      <c r="I29" s="10"/>
      <c r="J29" s="5">
        <f>J27</f>
        <v>-9000</v>
      </c>
      <c r="K29" s="10"/>
      <c r="L29" s="5">
        <f>L27</f>
        <v>-42000</v>
      </c>
    </row>
    <row r="30" spans="1:19" x14ac:dyDescent="0.2">
      <c r="H30" s="10"/>
      <c r="I30" s="10"/>
      <c r="J30" s="10"/>
      <c r="K30" s="10"/>
      <c r="L30" s="10"/>
    </row>
    <row r="31" spans="1:19" x14ac:dyDescent="0.2">
      <c r="D31" s="7" t="s">
        <v>34</v>
      </c>
      <c r="H31" s="10">
        <f>H24+H29</f>
        <v>685000</v>
      </c>
      <c r="I31" s="10"/>
      <c r="J31" s="10">
        <f>J24+J29</f>
        <v>-147000</v>
      </c>
      <c r="K31" s="10"/>
      <c r="L31" s="10">
        <f>L24+L29</f>
        <v>538000</v>
      </c>
    </row>
    <row r="32" spans="1:19" x14ac:dyDescent="0.2">
      <c r="H32" s="10"/>
      <c r="I32" s="10"/>
      <c r="J32" s="10"/>
      <c r="K32" s="10"/>
      <c r="L32" s="10"/>
    </row>
    <row r="33" spans="1:12" x14ac:dyDescent="0.2">
      <c r="A33" s="7" t="s">
        <v>35</v>
      </c>
      <c r="H33" s="5">
        <v>914000</v>
      </c>
      <c r="I33" s="10"/>
      <c r="J33" s="5">
        <v>1192000</v>
      </c>
      <c r="K33" s="10"/>
      <c r="L33" s="5">
        <f>J33+H33</f>
        <v>2106000</v>
      </c>
    </row>
    <row r="35" spans="1:12" ht="14.25" thickBot="1" x14ac:dyDescent="0.25">
      <c r="A35" s="7" t="s">
        <v>36</v>
      </c>
      <c r="H35" s="6">
        <f>H31+H33</f>
        <v>1599000</v>
      </c>
      <c r="J35" s="6">
        <f>J31+J33</f>
        <v>1045000</v>
      </c>
      <c r="L35" s="6">
        <f>L31+L33</f>
        <v>2644000</v>
      </c>
    </row>
    <row r="36" spans="1:12" ht="14.25" thickTop="1" x14ac:dyDescent="0.2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showGridLines="0" workbookViewId="0">
      <selection activeCell="H6" sqref="H6"/>
    </sheetView>
  </sheetViews>
  <sheetFormatPr defaultColWidth="9.140625" defaultRowHeight="13.5" x14ac:dyDescent="0.2"/>
  <cols>
    <col min="1" max="3" width="2.85546875" style="7" customWidth="1"/>
    <col min="4" max="6" width="9.140625" style="7"/>
    <col min="7" max="7" width="6.140625" style="7" customWidth="1"/>
    <col min="8" max="8" width="13.7109375" style="7" customWidth="1"/>
    <col min="9" max="9" width="1.7109375" style="7" customWidth="1"/>
    <col min="10" max="10" width="12.28515625" style="7" customWidth="1"/>
    <col min="11" max="11" width="1.7109375" style="7" customWidth="1"/>
    <col min="12" max="12" width="14.140625" style="7" customWidth="1"/>
    <col min="13" max="16384" width="9.140625" style="7"/>
  </cols>
  <sheetData>
    <row r="1" spans="1:12" x14ac:dyDescent="0.2">
      <c r="H1" s="8" t="s">
        <v>39</v>
      </c>
      <c r="J1" s="8" t="s">
        <v>40</v>
      </c>
      <c r="L1" s="8"/>
    </row>
    <row r="2" spans="1:12" x14ac:dyDescent="0.2">
      <c r="H2" s="2" t="s">
        <v>37</v>
      </c>
      <c r="J2" s="2" t="s">
        <v>37</v>
      </c>
      <c r="L2" s="2" t="s">
        <v>38</v>
      </c>
    </row>
    <row r="3" spans="1:12" x14ac:dyDescent="0.2">
      <c r="A3" s="7" t="s">
        <v>88</v>
      </c>
      <c r="H3" s="8"/>
      <c r="J3" s="8"/>
      <c r="L3" s="8"/>
    </row>
    <row r="4" spans="1:12" x14ac:dyDescent="0.2">
      <c r="A4" s="7" t="s">
        <v>20</v>
      </c>
    </row>
    <row r="5" spans="1:12" x14ac:dyDescent="0.2">
      <c r="B5" s="7" t="s">
        <v>21</v>
      </c>
      <c r="H5" s="9">
        <f>15000+3311000+154000+5000</f>
        <v>3485000</v>
      </c>
      <c r="J5" s="9">
        <v>106000</v>
      </c>
      <c r="L5" s="9">
        <f>SUM(H5:J5)</f>
        <v>3591000</v>
      </c>
    </row>
    <row r="6" spans="1:12" x14ac:dyDescent="0.2">
      <c r="B6" s="7" t="s">
        <v>22</v>
      </c>
      <c r="H6" s="10">
        <v>324000</v>
      </c>
      <c r="I6" s="10"/>
      <c r="J6" s="10"/>
      <c r="K6" s="10"/>
      <c r="L6" s="10">
        <f t="shared" ref="L6:L8" si="0">SUM(H6:J6)</f>
        <v>324000</v>
      </c>
    </row>
    <row r="7" spans="1:12" x14ac:dyDescent="0.2">
      <c r="B7" s="7" t="s">
        <v>24</v>
      </c>
      <c r="H7" s="10">
        <v>13000</v>
      </c>
      <c r="I7" s="10"/>
      <c r="J7" s="10"/>
      <c r="K7" s="10"/>
      <c r="L7" s="10">
        <f t="shared" si="0"/>
        <v>13000</v>
      </c>
    </row>
    <row r="8" spans="1:12" x14ac:dyDescent="0.2">
      <c r="B8" s="7" t="s">
        <v>25</v>
      </c>
      <c r="H8" s="5">
        <v>325000</v>
      </c>
      <c r="I8" s="10"/>
      <c r="J8" s="5">
        <v>-325000</v>
      </c>
      <c r="K8" s="10"/>
      <c r="L8" s="5">
        <f t="shared" si="0"/>
        <v>0</v>
      </c>
    </row>
    <row r="9" spans="1:12" x14ac:dyDescent="0.2">
      <c r="H9" s="10"/>
      <c r="I9" s="10"/>
      <c r="J9" s="10"/>
      <c r="K9" s="10"/>
      <c r="L9" s="10"/>
    </row>
    <row r="10" spans="1:12" x14ac:dyDescent="0.2">
      <c r="C10" s="7" t="s">
        <v>26</v>
      </c>
      <c r="H10" s="5">
        <f>SUM(H5:H8)</f>
        <v>4147000</v>
      </c>
      <c r="I10" s="10"/>
      <c r="J10" s="5">
        <f>SUM(J5:J8)</f>
        <v>-219000</v>
      </c>
      <c r="K10" s="10"/>
      <c r="L10" s="5">
        <f>SUM(L5:L8)</f>
        <v>3928000</v>
      </c>
    </row>
    <row r="11" spans="1:12" x14ac:dyDescent="0.2">
      <c r="H11" s="10"/>
      <c r="I11" s="10"/>
      <c r="J11" s="10"/>
      <c r="K11" s="10"/>
      <c r="L11" s="10"/>
    </row>
    <row r="12" spans="1:12" x14ac:dyDescent="0.2">
      <c r="A12" s="7" t="s">
        <v>27</v>
      </c>
      <c r="H12" s="10"/>
      <c r="I12" s="10"/>
      <c r="J12" s="10"/>
      <c r="K12" s="10"/>
      <c r="L12" s="10"/>
    </row>
    <row r="13" spans="1:12" x14ac:dyDescent="0.2">
      <c r="B13" s="7" t="s">
        <v>108</v>
      </c>
      <c r="H13" s="5">
        <v>3269000</v>
      </c>
      <c r="I13" s="10"/>
      <c r="J13" s="5">
        <v>0</v>
      </c>
      <c r="K13" s="10"/>
      <c r="L13" s="5">
        <f>H13</f>
        <v>3269000</v>
      </c>
    </row>
    <row r="14" spans="1:12" x14ac:dyDescent="0.2">
      <c r="H14" s="10"/>
      <c r="I14" s="10"/>
      <c r="J14" s="10"/>
      <c r="K14" s="10"/>
      <c r="L14" s="10"/>
    </row>
    <row r="15" spans="1:12" x14ac:dyDescent="0.2">
      <c r="B15" s="7" t="s">
        <v>89</v>
      </c>
      <c r="H15" s="10"/>
      <c r="I15" s="10"/>
      <c r="J15" s="10"/>
      <c r="K15" s="10"/>
      <c r="L15" s="10"/>
    </row>
    <row r="16" spans="1:12" x14ac:dyDescent="0.2">
      <c r="C16" s="7" t="s">
        <v>28</v>
      </c>
      <c r="H16" s="10">
        <v>353000</v>
      </c>
      <c r="I16" s="10"/>
      <c r="J16" s="10">
        <v>0</v>
      </c>
      <c r="K16" s="10"/>
      <c r="L16" s="10">
        <f>J16+H16</f>
        <v>353000</v>
      </c>
    </row>
    <row r="17" spans="1:12" x14ac:dyDescent="0.2">
      <c r="C17" s="7" t="s">
        <v>29</v>
      </c>
      <c r="H17" s="5">
        <v>1039000</v>
      </c>
      <c r="I17" s="10"/>
      <c r="J17" s="5">
        <v>0</v>
      </c>
      <c r="K17" s="10"/>
      <c r="L17" s="5">
        <f>J17+H17</f>
        <v>1039000</v>
      </c>
    </row>
    <row r="18" spans="1:12" x14ac:dyDescent="0.2">
      <c r="H18" s="10"/>
      <c r="I18" s="10"/>
      <c r="J18" s="10"/>
      <c r="K18" s="10"/>
      <c r="L18" s="10"/>
    </row>
    <row r="19" spans="1:12" x14ac:dyDescent="0.2">
      <c r="D19" s="7" t="s">
        <v>30</v>
      </c>
      <c r="H19" s="5">
        <f>SUM(H16:H17)</f>
        <v>1392000</v>
      </c>
      <c r="I19" s="10"/>
      <c r="J19" s="5">
        <f>SUM(J16:J17)</f>
        <v>0</v>
      </c>
      <c r="K19" s="10"/>
      <c r="L19" s="5">
        <f>J19+H19</f>
        <v>1392000</v>
      </c>
    </row>
    <row r="20" spans="1:12" x14ac:dyDescent="0.2">
      <c r="H20" s="10"/>
      <c r="I20" s="10"/>
      <c r="J20" s="10"/>
      <c r="K20" s="10"/>
      <c r="L20" s="10"/>
    </row>
    <row r="21" spans="1:12" x14ac:dyDescent="0.2">
      <c r="D21" s="7" t="s">
        <v>41</v>
      </c>
      <c r="H21" s="11">
        <f>H19+H13</f>
        <v>4661000</v>
      </c>
      <c r="J21" s="11">
        <f>J19+J13</f>
        <v>0</v>
      </c>
      <c r="L21" s="11">
        <f>L19+L13</f>
        <v>4661000</v>
      </c>
    </row>
    <row r="23" spans="1:12" x14ac:dyDescent="0.2">
      <c r="D23" s="7" t="s">
        <v>31</v>
      </c>
      <c r="H23" s="5">
        <f>H10-H13-H19</f>
        <v>-514000</v>
      </c>
      <c r="I23" s="10"/>
      <c r="J23" s="5">
        <f>J10-J13-J19</f>
        <v>-219000</v>
      </c>
      <c r="K23" s="10"/>
      <c r="L23" s="5">
        <f>L10-L13-L19</f>
        <v>-733000</v>
      </c>
    </row>
    <row r="24" spans="1:12" x14ac:dyDescent="0.2">
      <c r="H24" s="10"/>
      <c r="I24" s="10"/>
      <c r="J24" s="10"/>
      <c r="K24" s="10"/>
      <c r="L24" s="10"/>
    </row>
    <row r="25" spans="1:12" x14ac:dyDescent="0.2">
      <c r="A25" s="7" t="s">
        <v>32</v>
      </c>
      <c r="H25" s="10"/>
      <c r="I25" s="10"/>
      <c r="J25" s="10"/>
      <c r="K25" s="10"/>
      <c r="L25" s="10"/>
    </row>
    <row r="26" spans="1:12" x14ac:dyDescent="0.2">
      <c r="B26" s="7" t="s">
        <v>92</v>
      </c>
      <c r="H26" s="5">
        <v>6000</v>
      </c>
      <c r="I26" s="10"/>
      <c r="J26" s="5">
        <v>3000</v>
      </c>
      <c r="K26" s="10"/>
      <c r="L26" s="5">
        <f>J26+H26</f>
        <v>9000</v>
      </c>
    </row>
    <row r="27" spans="1:12" x14ac:dyDescent="0.2">
      <c r="H27" s="10"/>
      <c r="I27" s="10"/>
      <c r="J27" s="10"/>
      <c r="K27" s="10"/>
      <c r="L27" s="10"/>
    </row>
    <row r="28" spans="1:12" x14ac:dyDescent="0.2">
      <c r="D28" s="7" t="s">
        <v>33</v>
      </c>
      <c r="H28" s="5">
        <f>SUM(H26:H26)</f>
        <v>6000</v>
      </c>
      <c r="I28" s="10"/>
      <c r="J28" s="5">
        <f>SUM(J26:J26)</f>
        <v>3000</v>
      </c>
      <c r="K28" s="10"/>
      <c r="L28" s="5">
        <f>SUM(L26:L26)</f>
        <v>9000</v>
      </c>
    </row>
    <row r="29" spans="1:12" x14ac:dyDescent="0.2">
      <c r="H29" s="10"/>
      <c r="I29" s="10"/>
      <c r="J29" s="10"/>
      <c r="K29" s="10"/>
      <c r="L29" s="10"/>
    </row>
    <row r="30" spans="1:12" x14ac:dyDescent="0.2">
      <c r="D30" s="7" t="s">
        <v>34</v>
      </c>
      <c r="H30" s="10">
        <f>H23+H28</f>
        <v>-508000</v>
      </c>
      <c r="I30" s="10"/>
      <c r="J30" s="10">
        <f>J23+J28</f>
        <v>-216000</v>
      </c>
      <c r="K30" s="10"/>
      <c r="L30" s="10">
        <f>L23+L28</f>
        <v>-724000</v>
      </c>
    </row>
    <row r="31" spans="1:12" x14ac:dyDescent="0.2">
      <c r="H31" s="10"/>
      <c r="I31" s="10"/>
      <c r="J31" s="10"/>
      <c r="K31" s="10"/>
      <c r="L31" s="10"/>
    </row>
    <row r="32" spans="1:12" x14ac:dyDescent="0.2">
      <c r="A32" s="7" t="s">
        <v>35</v>
      </c>
      <c r="H32" s="5">
        <v>1422000</v>
      </c>
      <c r="I32" s="10"/>
      <c r="J32" s="5">
        <v>1408000</v>
      </c>
      <c r="K32" s="10"/>
      <c r="L32" s="5">
        <f>J32+H32</f>
        <v>2830000</v>
      </c>
    </row>
    <row r="34" spans="1:12" ht="14.25" thickBot="1" x14ac:dyDescent="0.25">
      <c r="A34" s="7" t="s">
        <v>36</v>
      </c>
      <c r="H34" s="6">
        <f>H30+H32</f>
        <v>914000</v>
      </c>
      <c r="J34" s="6">
        <f>J30+J32</f>
        <v>1192000</v>
      </c>
      <c r="L34" s="6">
        <f>L30+L32</f>
        <v>2106000</v>
      </c>
    </row>
    <row r="35" spans="1:12" ht="14.25" thickTop="1" x14ac:dyDescent="0.2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showGridLines="0" topLeftCell="A3" workbookViewId="0">
      <selection activeCell="J17" sqref="J17"/>
    </sheetView>
  </sheetViews>
  <sheetFormatPr defaultColWidth="9.140625" defaultRowHeight="13.5" x14ac:dyDescent="0.2"/>
  <cols>
    <col min="1" max="1" width="9.140625" style="7"/>
    <col min="2" max="2" width="9.140625" style="7" customWidth="1"/>
    <col min="3" max="3" width="2.5703125" style="7" customWidth="1"/>
    <col min="4" max="4" width="3.5703125" style="7" customWidth="1"/>
    <col min="5" max="5" width="3.28515625" style="7" customWidth="1"/>
    <col min="6" max="6" width="12.7109375" style="7" bestFit="1" customWidth="1"/>
    <col min="7" max="7" width="1.7109375" style="7" customWidth="1"/>
    <col min="8" max="8" width="12.85546875" style="7" bestFit="1" customWidth="1"/>
    <col min="9" max="9" width="1.7109375" style="7" customWidth="1"/>
    <col min="10" max="10" width="12.7109375" style="7" bestFit="1" customWidth="1"/>
    <col min="11" max="11" width="1.7109375" style="7" customWidth="1"/>
    <col min="12" max="12" width="12.7109375" style="7" bestFit="1" customWidth="1"/>
    <col min="13" max="16384" width="9.140625" style="7"/>
  </cols>
  <sheetData>
    <row r="1" spans="1:12" x14ac:dyDescent="0.2">
      <c r="F1" s="28" t="s">
        <v>18</v>
      </c>
      <c r="G1" s="28"/>
      <c r="H1" s="28"/>
      <c r="I1" s="28"/>
      <c r="J1" s="28"/>
      <c r="K1" s="28"/>
      <c r="L1" s="28"/>
    </row>
    <row r="2" spans="1:12" x14ac:dyDescent="0.2">
      <c r="F2" s="12" t="s">
        <v>107</v>
      </c>
      <c r="H2" s="12" t="s">
        <v>106</v>
      </c>
    </row>
    <row r="3" spans="1:12" x14ac:dyDescent="0.2">
      <c r="F3" s="2" t="s">
        <v>104</v>
      </c>
      <c r="H3" s="2" t="s">
        <v>105</v>
      </c>
      <c r="J3" s="2" t="s">
        <v>29</v>
      </c>
      <c r="L3" s="2" t="s">
        <v>38</v>
      </c>
    </row>
    <row r="5" spans="1:12" x14ac:dyDescent="0.2">
      <c r="A5" s="7" t="s">
        <v>96</v>
      </c>
      <c r="F5" s="9">
        <f>1722000-H5</f>
        <v>1617000</v>
      </c>
      <c r="H5" s="9">
        <v>105000</v>
      </c>
      <c r="J5" s="9">
        <v>0</v>
      </c>
      <c r="L5" s="9">
        <f>F5+J5+H5</f>
        <v>1722000</v>
      </c>
    </row>
    <row r="6" spans="1:12" x14ac:dyDescent="0.2">
      <c r="A6" s="7" t="s">
        <v>97</v>
      </c>
      <c r="F6" s="4">
        <f>159000+1126000</f>
        <v>1285000</v>
      </c>
      <c r="H6" s="10">
        <f>-159000+175000</f>
        <v>16000</v>
      </c>
      <c r="I6" s="10"/>
      <c r="J6" s="10">
        <v>531000</v>
      </c>
      <c r="K6" s="10"/>
      <c r="L6" s="4">
        <f>F6+H6+J6</f>
        <v>1832000</v>
      </c>
    </row>
    <row r="7" spans="1:12" x14ac:dyDescent="0.2">
      <c r="A7" s="7" t="s">
        <v>98</v>
      </c>
      <c r="F7" s="4">
        <f>760000-H7</f>
        <v>706000</v>
      </c>
      <c r="H7" s="10">
        <v>54000</v>
      </c>
      <c r="I7" s="10"/>
      <c r="J7" s="10">
        <v>245000</v>
      </c>
      <c r="K7" s="10"/>
      <c r="L7" s="4">
        <f t="shared" ref="L7:L14" si="0">F7+H7+J7</f>
        <v>1005000</v>
      </c>
    </row>
    <row r="8" spans="1:12" x14ac:dyDescent="0.2">
      <c r="A8" s="7" t="s">
        <v>84</v>
      </c>
      <c r="F8" s="4">
        <v>203000</v>
      </c>
      <c r="H8" s="10">
        <v>30000</v>
      </c>
      <c r="I8" s="10"/>
      <c r="J8" s="10">
        <v>72000</v>
      </c>
      <c r="K8" s="10"/>
      <c r="L8" s="4">
        <f t="shared" si="0"/>
        <v>305000</v>
      </c>
    </row>
    <row r="9" spans="1:12" x14ac:dyDescent="0.2">
      <c r="A9" s="7" t="s">
        <v>99</v>
      </c>
      <c r="F9" s="4">
        <v>120000</v>
      </c>
      <c r="H9" s="10">
        <v>48000</v>
      </c>
      <c r="I9" s="10"/>
      <c r="J9" s="10">
        <v>45000</v>
      </c>
      <c r="K9" s="10"/>
      <c r="L9" s="4">
        <f t="shared" si="0"/>
        <v>213000</v>
      </c>
    </row>
    <row r="10" spans="1:12" x14ac:dyDescent="0.2">
      <c r="A10" s="7" t="s">
        <v>100</v>
      </c>
      <c r="F10" s="4">
        <v>137000</v>
      </c>
      <c r="H10" s="10">
        <v>1000</v>
      </c>
      <c r="I10" s="10"/>
      <c r="J10" s="10">
        <v>74000</v>
      </c>
      <c r="K10" s="10"/>
      <c r="L10" s="4">
        <f t="shared" si="0"/>
        <v>212000</v>
      </c>
    </row>
    <row r="11" spans="1:12" x14ac:dyDescent="0.2">
      <c r="A11" s="7" t="s">
        <v>109</v>
      </c>
      <c r="F11" s="4">
        <v>15000</v>
      </c>
      <c r="H11" s="10">
        <v>4000</v>
      </c>
      <c r="I11" s="10"/>
      <c r="J11" s="10">
        <v>35000</v>
      </c>
      <c r="K11" s="10"/>
      <c r="L11" s="4">
        <f t="shared" si="0"/>
        <v>54000</v>
      </c>
    </row>
    <row r="12" spans="1:12" x14ac:dyDescent="0.2">
      <c r="A12" s="7" t="s">
        <v>101</v>
      </c>
      <c r="F12" s="4">
        <v>79000</v>
      </c>
      <c r="H12" s="10">
        <v>1000</v>
      </c>
      <c r="I12" s="10"/>
      <c r="J12" s="10">
        <f>3000+8000</f>
        <v>11000</v>
      </c>
      <c r="K12" s="10"/>
      <c r="L12" s="4">
        <f t="shared" si="0"/>
        <v>91000</v>
      </c>
    </row>
    <row r="13" spans="1:12" x14ac:dyDescent="0.2">
      <c r="A13" s="7" t="s">
        <v>43</v>
      </c>
      <c r="F13" s="4">
        <v>44000</v>
      </c>
      <c r="H13" s="10">
        <v>6000</v>
      </c>
      <c r="I13" s="10"/>
      <c r="J13" s="10">
        <f>-3000+16000</f>
        <v>13000</v>
      </c>
      <c r="K13" s="10"/>
      <c r="L13" s="4">
        <f t="shared" si="0"/>
        <v>63000</v>
      </c>
    </row>
    <row r="14" spans="1:12" x14ac:dyDescent="0.2">
      <c r="A14" s="7" t="s">
        <v>102</v>
      </c>
      <c r="F14" s="5">
        <v>80000</v>
      </c>
      <c r="H14" s="5">
        <v>18000</v>
      </c>
      <c r="I14" s="10"/>
      <c r="J14" s="5">
        <v>113000</v>
      </c>
      <c r="K14" s="10"/>
      <c r="L14" s="5">
        <f t="shared" si="0"/>
        <v>211000</v>
      </c>
    </row>
    <row r="16" spans="1:12" ht="14.25" thickBot="1" x14ac:dyDescent="0.25">
      <c r="F16" s="6">
        <f>SUM(F5:F14)</f>
        <v>4286000</v>
      </c>
      <c r="H16" s="6">
        <f>SUM(H5:H14)</f>
        <v>283000</v>
      </c>
      <c r="J16" s="6">
        <f>SUM(J5:J14)</f>
        <v>1139000</v>
      </c>
      <c r="L16" s="6">
        <f>SUM(L5:L14)</f>
        <v>5708000</v>
      </c>
    </row>
    <row r="17" spans="1:12" ht="14.25" thickTop="1" x14ac:dyDescent="0.2"/>
    <row r="19" spans="1:12" x14ac:dyDescent="0.2">
      <c r="F19" s="28" t="s">
        <v>18</v>
      </c>
      <c r="G19" s="28"/>
      <c r="H19" s="28"/>
      <c r="I19" s="28"/>
      <c r="J19" s="28"/>
      <c r="K19" s="28"/>
      <c r="L19" s="28"/>
    </row>
    <row r="20" spans="1:12" x14ac:dyDescent="0.2">
      <c r="F20" s="12" t="s">
        <v>107</v>
      </c>
      <c r="H20" s="12" t="s">
        <v>106</v>
      </c>
    </row>
    <row r="21" spans="1:12" x14ac:dyDescent="0.2">
      <c r="F21" s="2" t="s">
        <v>104</v>
      </c>
      <c r="H21" s="2" t="s">
        <v>105</v>
      </c>
      <c r="J21" s="2" t="s">
        <v>29</v>
      </c>
      <c r="L21" s="2" t="s">
        <v>38</v>
      </c>
    </row>
    <row r="23" spans="1:12" x14ac:dyDescent="0.2">
      <c r="A23" s="7" t="s">
        <v>96</v>
      </c>
      <c r="F23" s="9">
        <f>241000-H23-J23</f>
        <v>229000</v>
      </c>
      <c r="H23" s="9">
        <v>12000</v>
      </c>
      <c r="J23" s="9">
        <v>0</v>
      </c>
      <c r="L23" s="9">
        <f>SUM(F23:J23)</f>
        <v>241000</v>
      </c>
    </row>
    <row r="24" spans="1:12" x14ac:dyDescent="0.2">
      <c r="A24" s="7" t="s">
        <v>97</v>
      </c>
      <c r="F24" s="10">
        <f>12000+1459000</f>
        <v>1471000</v>
      </c>
      <c r="G24" s="10"/>
      <c r="H24" s="10">
        <f>-12000+183000</f>
        <v>171000</v>
      </c>
      <c r="I24" s="10"/>
      <c r="J24" s="10">
        <v>451000</v>
      </c>
      <c r="K24" s="10"/>
      <c r="L24" s="10">
        <f t="shared" ref="L24:L32" si="1">SUM(F24:J24)</f>
        <v>2093000</v>
      </c>
    </row>
    <row r="25" spans="1:12" x14ac:dyDescent="0.2">
      <c r="A25" s="7" t="s">
        <v>98</v>
      </c>
      <c r="F25" s="10">
        <v>265000</v>
      </c>
      <c r="G25" s="10"/>
      <c r="H25" s="10">
        <v>1000</v>
      </c>
      <c r="I25" s="10"/>
      <c r="J25" s="10">
        <v>113000</v>
      </c>
      <c r="K25" s="10"/>
      <c r="L25" s="10">
        <f>SUM(F25:J25)</f>
        <v>379000</v>
      </c>
    </row>
    <row r="26" spans="1:12" x14ac:dyDescent="0.2">
      <c r="A26" s="7" t="s">
        <v>84</v>
      </c>
      <c r="F26" s="10">
        <v>185000</v>
      </c>
      <c r="G26" s="10"/>
      <c r="H26" s="10">
        <v>25000</v>
      </c>
      <c r="I26" s="10"/>
      <c r="J26" s="10">
        <v>75000</v>
      </c>
      <c r="K26" s="10"/>
      <c r="L26" s="10">
        <f>SUM(F26:J26)</f>
        <v>285000</v>
      </c>
    </row>
    <row r="27" spans="1:12" x14ac:dyDescent="0.2">
      <c r="A27" s="7" t="s">
        <v>99</v>
      </c>
      <c r="F27" s="10">
        <v>664000</v>
      </c>
      <c r="G27" s="10"/>
      <c r="H27" s="10">
        <v>108000</v>
      </c>
      <c r="I27" s="10"/>
      <c r="J27" s="10">
        <v>232000</v>
      </c>
      <c r="K27" s="10"/>
      <c r="L27" s="10">
        <f t="shared" si="1"/>
        <v>1004000</v>
      </c>
    </row>
    <row r="28" spans="1:12" x14ac:dyDescent="0.2">
      <c r="A28" s="7" t="s">
        <v>100</v>
      </c>
      <c r="F28" s="10">
        <v>111000</v>
      </c>
      <c r="G28" s="10"/>
      <c r="H28" s="10">
        <v>3000</v>
      </c>
      <c r="I28" s="10"/>
      <c r="J28" s="10">
        <v>22000</v>
      </c>
      <c r="K28" s="10"/>
      <c r="L28" s="10">
        <f>SUM(F28:J28)</f>
        <v>136000</v>
      </c>
    </row>
    <row r="29" spans="1:12" x14ac:dyDescent="0.2">
      <c r="A29" s="7" t="s">
        <v>109</v>
      </c>
      <c r="F29" s="10">
        <v>83000</v>
      </c>
      <c r="G29" s="10"/>
      <c r="H29" s="10">
        <v>6000</v>
      </c>
      <c r="I29" s="10"/>
      <c r="J29" s="10">
        <v>19000</v>
      </c>
      <c r="K29" s="10"/>
      <c r="L29" s="10">
        <f>SUM(F29:J29)</f>
        <v>108000</v>
      </c>
    </row>
    <row r="30" spans="1:12" x14ac:dyDescent="0.2">
      <c r="A30" s="7" t="s">
        <v>103</v>
      </c>
      <c r="F30" s="10">
        <v>126000</v>
      </c>
      <c r="G30" s="10"/>
      <c r="H30" s="10">
        <v>4000</v>
      </c>
      <c r="I30" s="10"/>
      <c r="J30" s="10">
        <v>8000</v>
      </c>
      <c r="K30" s="10"/>
      <c r="L30" s="10">
        <f t="shared" si="1"/>
        <v>138000</v>
      </c>
    </row>
    <row r="31" spans="1:12" x14ac:dyDescent="0.2">
      <c r="A31" s="7" t="s">
        <v>43</v>
      </c>
      <c r="F31" s="10">
        <v>44000</v>
      </c>
      <c r="G31" s="10"/>
      <c r="H31" s="10">
        <v>6000</v>
      </c>
      <c r="I31" s="10"/>
      <c r="J31" s="10">
        <v>18000</v>
      </c>
      <c r="K31" s="10"/>
      <c r="L31" s="10">
        <f t="shared" si="1"/>
        <v>68000</v>
      </c>
    </row>
    <row r="32" spans="1:12" x14ac:dyDescent="0.2">
      <c r="A32" s="7" t="s">
        <v>102</v>
      </c>
      <c r="F32" s="5">
        <v>91000</v>
      </c>
      <c r="G32" s="10"/>
      <c r="H32" s="5">
        <v>17000</v>
      </c>
      <c r="I32" s="10"/>
      <c r="J32" s="5">
        <v>101000</v>
      </c>
      <c r="K32" s="10"/>
      <c r="L32" s="5">
        <f t="shared" si="1"/>
        <v>209000</v>
      </c>
    </row>
    <row r="34" spans="6:12" ht="14.25" thickBot="1" x14ac:dyDescent="0.25">
      <c r="F34" s="6">
        <f>SUM(F23:F32)</f>
        <v>3269000</v>
      </c>
      <c r="H34" s="6">
        <f>SUM(H23:H32)</f>
        <v>353000</v>
      </c>
      <c r="J34" s="6">
        <f>SUM(J23:J32)</f>
        <v>1039000</v>
      </c>
      <c r="L34" s="6">
        <f>SUM(L23:L32)</f>
        <v>4661000</v>
      </c>
    </row>
    <row r="35" spans="6:12" ht="14.25" thickTop="1" x14ac:dyDescent="0.2"/>
  </sheetData>
  <mergeCells count="2">
    <mergeCell ref="F1:L1"/>
    <mergeCell ref="F19:L1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1"/>
  <sheetViews>
    <sheetView showGridLines="0" topLeftCell="A18" workbookViewId="0">
      <selection activeCell="A2" sqref="A2:M31"/>
    </sheetView>
  </sheetViews>
  <sheetFormatPr defaultColWidth="9.140625" defaultRowHeight="13.5" x14ac:dyDescent="0.2"/>
  <cols>
    <col min="1" max="4" width="2.85546875" style="7" customWidth="1"/>
    <col min="5" max="9" width="9.140625" style="7"/>
    <col min="10" max="10" width="6.140625" style="7" customWidth="1"/>
    <col min="11" max="11" width="12.28515625" style="22" bestFit="1" customWidth="1"/>
    <col min="12" max="12" width="1.7109375" style="7" customWidth="1"/>
    <col min="13" max="13" width="12" style="7" bestFit="1" customWidth="1"/>
    <col min="14" max="16384" width="9.140625" style="7"/>
  </cols>
  <sheetData>
    <row r="2" spans="1:16" x14ac:dyDescent="0.2">
      <c r="A2" s="7" t="s">
        <v>61</v>
      </c>
      <c r="K2" s="20"/>
      <c r="M2" s="8"/>
    </row>
    <row r="3" spans="1:16" x14ac:dyDescent="0.2">
      <c r="K3" s="21" t="s">
        <v>18</v>
      </c>
      <c r="M3" s="2" t="s">
        <v>18</v>
      </c>
    </row>
    <row r="4" spans="1:16" x14ac:dyDescent="0.2">
      <c r="A4" s="7" t="s">
        <v>42</v>
      </c>
    </row>
    <row r="5" spans="1:16" x14ac:dyDescent="0.2">
      <c r="B5" s="7" t="s">
        <v>34</v>
      </c>
      <c r="K5" s="23">
        <v>538000</v>
      </c>
      <c r="M5" s="9">
        <v>-724000</v>
      </c>
    </row>
    <row r="6" spans="1:16" x14ac:dyDescent="0.2">
      <c r="B6" s="7" t="s">
        <v>45</v>
      </c>
      <c r="K6" s="24"/>
      <c r="L6" s="10"/>
      <c r="M6" s="10"/>
    </row>
    <row r="7" spans="1:16" x14ac:dyDescent="0.2">
      <c r="C7" s="7" t="s">
        <v>90</v>
      </c>
      <c r="K7" s="24"/>
      <c r="L7" s="10"/>
      <c r="M7" s="10"/>
    </row>
    <row r="8" spans="1:16" x14ac:dyDescent="0.2">
      <c r="D8" s="7" t="s">
        <v>43</v>
      </c>
      <c r="K8" s="24">
        <f>-3000+66000</f>
        <v>63000</v>
      </c>
      <c r="L8" s="10"/>
      <c r="M8" s="10">
        <v>68000</v>
      </c>
    </row>
    <row r="9" spans="1:16" x14ac:dyDescent="0.2">
      <c r="D9" s="7" t="s">
        <v>44</v>
      </c>
      <c r="K9" s="24">
        <f>-67000-3000</f>
        <v>-70000</v>
      </c>
      <c r="L9" s="10"/>
      <c r="M9" s="10">
        <f>-55000+18000</f>
        <v>-37000</v>
      </c>
    </row>
    <row r="10" spans="1:16" x14ac:dyDescent="0.2">
      <c r="D10" s="7" t="s">
        <v>55</v>
      </c>
      <c r="K10" s="24">
        <v>42000</v>
      </c>
      <c r="L10" s="10"/>
      <c r="M10" s="10">
        <v>-9000</v>
      </c>
      <c r="P10" s="7">
        <v>1</v>
      </c>
    </row>
    <row r="11" spans="1:16" x14ac:dyDescent="0.2">
      <c r="D11" s="7" t="s">
        <v>56</v>
      </c>
      <c r="K11" s="24">
        <v>165000</v>
      </c>
      <c r="L11" s="10"/>
      <c r="M11" s="10">
        <v>-99000</v>
      </c>
    </row>
    <row r="12" spans="1:16" x14ac:dyDescent="0.2">
      <c r="D12" s="7" t="s">
        <v>57</v>
      </c>
      <c r="K12" s="24">
        <v>393000</v>
      </c>
      <c r="L12" s="10"/>
      <c r="M12" s="10">
        <v>303000</v>
      </c>
    </row>
    <row r="13" spans="1:16" x14ac:dyDescent="0.2">
      <c r="D13" s="7" t="s">
        <v>46</v>
      </c>
      <c r="K13" s="24">
        <v>-1000</v>
      </c>
      <c r="L13" s="10"/>
      <c r="M13" s="10">
        <v>7000</v>
      </c>
    </row>
    <row r="14" spans="1:16" x14ac:dyDescent="0.2">
      <c r="D14" s="7" t="s">
        <v>47</v>
      </c>
      <c r="K14" s="24">
        <v>154000</v>
      </c>
      <c r="L14" s="10"/>
      <c r="M14" s="10">
        <v>-73000</v>
      </c>
    </row>
    <row r="15" spans="1:16" x14ac:dyDescent="0.2">
      <c r="D15" s="7" t="s">
        <v>48</v>
      </c>
      <c r="K15" s="25">
        <v>-4000</v>
      </c>
      <c r="L15" s="10"/>
      <c r="M15" s="5">
        <v>1000</v>
      </c>
    </row>
    <row r="16" spans="1:16" x14ac:dyDescent="0.2">
      <c r="K16" s="24"/>
      <c r="L16" s="10"/>
      <c r="M16" s="10"/>
    </row>
    <row r="17" spans="1:13" x14ac:dyDescent="0.2">
      <c r="E17" s="7" t="s">
        <v>49</v>
      </c>
      <c r="K17" s="25">
        <f>SUM(K5:K16)</f>
        <v>1280000</v>
      </c>
      <c r="L17" s="10"/>
      <c r="M17" s="5">
        <f>SUM(M5:M16)</f>
        <v>-563000</v>
      </c>
    </row>
    <row r="18" spans="1:13" x14ac:dyDescent="0.2">
      <c r="K18" s="24"/>
      <c r="L18" s="10"/>
      <c r="M18" s="10"/>
    </row>
    <row r="19" spans="1:13" x14ac:dyDescent="0.2">
      <c r="A19" s="7" t="s">
        <v>50</v>
      </c>
      <c r="K19" s="24"/>
      <c r="L19" s="10"/>
      <c r="M19" s="10"/>
    </row>
    <row r="20" spans="1:13" x14ac:dyDescent="0.2">
      <c r="B20" s="7" t="s">
        <v>51</v>
      </c>
      <c r="K20" s="24">
        <f>3000-10000</f>
        <v>-7000</v>
      </c>
      <c r="L20" s="10"/>
      <c r="M20" s="10">
        <v>0</v>
      </c>
    </row>
    <row r="21" spans="1:13" x14ac:dyDescent="0.2">
      <c r="B21" s="7" t="s">
        <v>52</v>
      </c>
      <c r="K21" s="24">
        <f>-1293000+3000</f>
        <v>-1290000</v>
      </c>
      <c r="L21" s="10"/>
      <c r="M21" s="10">
        <v>-546000</v>
      </c>
    </row>
    <row r="22" spans="1:13" x14ac:dyDescent="0.2">
      <c r="B22" s="7" t="s">
        <v>93</v>
      </c>
      <c r="K22" s="25">
        <v>837000</v>
      </c>
      <c r="L22" s="10"/>
      <c r="M22" s="5">
        <v>79000</v>
      </c>
    </row>
    <row r="23" spans="1:13" x14ac:dyDescent="0.2">
      <c r="K23" s="24"/>
      <c r="L23" s="10"/>
      <c r="M23" s="10"/>
    </row>
    <row r="24" spans="1:13" x14ac:dyDescent="0.2">
      <c r="E24" s="7" t="s">
        <v>53</v>
      </c>
      <c r="K24" s="25">
        <f>SUM(K20:K22)</f>
        <v>-460000</v>
      </c>
      <c r="L24" s="10"/>
      <c r="M24" s="5">
        <f>SUM(M20:M22)</f>
        <v>-467000</v>
      </c>
    </row>
    <row r="25" spans="1:13" x14ac:dyDescent="0.2">
      <c r="K25" s="24"/>
      <c r="L25" s="10"/>
      <c r="M25" s="10"/>
    </row>
    <row r="26" spans="1:13" x14ac:dyDescent="0.2">
      <c r="E26" s="7" t="s">
        <v>58</v>
      </c>
      <c r="K26" s="24">
        <f>K17+K24</f>
        <v>820000</v>
      </c>
      <c r="L26" s="10"/>
      <c r="M26" s="10">
        <f>M17+M24</f>
        <v>-1030000</v>
      </c>
    </row>
    <row r="27" spans="1:13" x14ac:dyDescent="0.2">
      <c r="K27" s="24"/>
      <c r="L27" s="10"/>
      <c r="M27" s="10"/>
    </row>
    <row r="28" spans="1:13" x14ac:dyDescent="0.2">
      <c r="A28" s="7" t="s">
        <v>59</v>
      </c>
      <c r="K28" s="25">
        <v>920000</v>
      </c>
      <c r="L28" s="10"/>
      <c r="M28" s="5">
        <v>1950000</v>
      </c>
    </row>
    <row r="30" spans="1:13" ht="14.25" thickBot="1" x14ac:dyDescent="0.25">
      <c r="A30" s="7" t="s">
        <v>60</v>
      </c>
      <c r="K30" s="26">
        <f>SUM(K26:K28)</f>
        <v>1740000</v>
      </c>
      <c r="M30" s="6">
        <f>SUM(M26:M28)</f>
        <v>920000</v>
      </c>
    </row>
    <row r="31" spans="1:13" ht="14.25" thickTop="1" x14ac:dyDescent="0.2"/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workbookViewId="0">
      <selection activeCell="K13" sqref="K13"/>
    </sheetView>
  </sheetViews>
  <sheetFormatPr defaultColWidth="9.140625" defaultRowHeight="13.5" x14ac:dyDescent="0.2"/>
  <cols>
    <col min="1" max="2" width="2.85546875" style="7" customWidth="1"/>
    <col min="3" max="6" width="9.140625" style="7"/>
    <col min="7" max="7" width="8.42578125" style="7" customWidth="1"/>
    <col min="8" max="8" width="2.42578125" style="7" customWidth="1"/>
    <col min="9" max="10" width="9.140625" style="7" hidden="1" customWidth="1"/>
    <col min="11" max="11" width="14.42578125" style="7" bestFit="1" customWidth="1"/>
    <col min="12" max="12" width="1.7109375" style="7" customWidth="1"/>
    <col min="13" max="13" width="13.28515625" style="7" bestFit="1" customWidth="1"/>
    <col min="14" max="16384" width="9.140625" style="7"/>
  </cols>
  <sheetData>
    <row r="1" spans="1:13" x14ac:dyDescent="0.2">
      <c r="A1" s="7" t="s">
        <v>62</v>
      </c>
      <c r="K1" s="8"/>
      <c r="M1" s="8"/>
    </row>
    <row r="2" spans="1:13" x14ac:dyDescent="0.2">
      <c r="K2" s="2" t="s">
        <v>18</v>
      </c>
      <c r="M2" s="2" t="s">
        <v>18</v>
      </c>
    </row>
    <row r="3" spans="1:13" x14ac:dyDescent="0.2">
      <c r="A3" s="7" t="s">
        <v>42</v>
      </c>
    </row>
    <row r="4" spans="1:13" x14ac:dyDescent="0.2">
      <c r="B4" s="7" t="s">
        <v>63</v>
      </c>
      <c r="K4" s="9">
        <f>-3000+5989000</f>
        <v>5986000</v>
      </c>
      <c r="M4" s="9">
        <v>3741000</v>
      </c>
    </row>
    <row r="5" spans="1:13" x14ac:dyDescent="0.2">
      <c r="B5" s="7" t="s">
        <v>91</v>
      </c>
      <c r="K5" s="10">
        <v>-5128000</v>
      </c>
      <c r="L5" s="10"/>
      <c r="M5" s="10">
        <v>-4620000</v>
      </c>
    </row>
    <row r="6" spans="1:13" x14ac:dyDescent="0.2">
      <c r="B6" s="7" t="s">
        <v>64</v>
      </c>
      <c r="K6" s="10">
        <v>393000</v>
      </c>
      <c r="L6" s="10"/>
      <c r="M6" s="10">
        <v>303000</v>
      </c>
    </row>
    <row r="7" spans="1:13" x14ac:dyDescent="0.2">
      <c r="B7" s="7" t="s">
        <v>65</v>
      </c>
      <c r="K7" s="5">
        <v>29000</v>
      </c>
      <c r="L7" s="10"/>
      <c r="M7" s="5">
        <v>13000</v>
      </c>
    </row>
    <row r="8" spans="1:13" x14ac:dyDescent="0.2">
      <c r="K8" s="10"/>
      <c r="L8" s="10"/>
      <c r="M8" s="10"/>
    </row>
    <row r="9" spans="1:13" x14ac:dyDescent="0.2">
      <c r="C9" s="7" t="s">
        <v>49</v>
      </c>
      <c r="K9" s="10">
        <f>SUM(K4:K7)</f>
        <v>1280000</v>
      </c>
      <c r="L9" s="10"/>
      <c r="M9" s="10">
        <f>SUM(M4:M7)</f>
        <v>-563000</v>
      </c>
    </row>
    <row r="10" spans="1:13" x14ac:dyDescent="0.2">
      <c r="K10" s="10"/>
      <c r="L10" s="10"/>
      <c r="M10" s="10"/>
    </row>
    <row r="11" spans="1:13" x14ac:dyDescent="0.2">
      <c r="A11" s="7" t="s">
        <v>50</v>
      </c>
      <c r="K11" s="10"/>
      <c r="L11" s="10"/>
      <c r="M11" s="10"/>
    </row>
    <row r="12" spans="1:13" x14ac:dyDescent="0.2">
      <c r="B12" s="7" t="s">
        <v>51</v>
      </c>
      <c r="K12" s="10">
        <f>-7000</f>
        <v>-7000</v>
      </c>
      <c r="L12" s="10"/>
      <c r="M12" s="10">
        <v>0</v>
      </c>
    </row>
    <row r="13" spans="1:13" x14ac:dyDescent="0.2">
      <c r="B13" s="7" t="s">
        <v>52</v>
      </c>
      <c r="K13" s="10">
        <f>-1293000+3000</f>
        <v>-1290000</v>
      </c>
      <c r="L13" s="10"/>
      <c r="M13" s="10">
        <v>-546000</v>
      </c>
    </row>
    <row r="14" spans="1:13" x14ac:dyDescent="0.2">
      <c r="B14" s="7" t="s">
        <v>93</v>
      </c>
      <c r="K14" s="5">
        <v>837000</v>
      </c>
      <c r="L14" s="10"/>
      <c r="M14" s="5">
        <v>79000</v>
      </c>
    </row>
    <row r="15" spans="1:13" x14ac:dyDescent="0.2">
      <c r="K15" s="10"/>
      <c r="L15" s="10"/>
      <c r="M15" s="10"/>
    </row>
    <row r="16" spans="1:13" x14ac:dyDescent="0.2">
      <c r="C16" s="7" t="s">
        <v>53</v>
      </c>
      <c r="K16" s="5">
        <f>SUM(K12:K14)</f>
        <v>-460000</v>
      </c>
      <c r="L16" s="10"/>
      <c r="M16" s="5">
        <f>SUM(M12:M14)</f>
        <v>-467000</v>
      </c>
    </row>
    <row r="17" spans="1:13" x14ac:dyDescent="0.2">
      <c r="K17" s="10"/>
      <c r="L17" s="10"/>
      <c r="M17" s="10"/>
    </row>
    <row r="18" spans="1:13" x14ac:dyDescent="0.2">
      <c r="C18" s="7" t="s">
        <v>54</v>
      </c>
      <c r="K18" s="10">
        <f>K9+K16</f>
        <v>820000</v>
      </c>
      <c r="L18" s="10"/>
      <c r="M18" s="10">
        <f>M9+M16</f>
        <v>-1030000</v>
      </c>
    </row>
    <row r="19" spans="1:13" x14ac:dyDescent="0.2">
      <c r="K19" s="10"/>
      <c r="L19" s="10"/>
      <c r="M19" s="10"/>
    </row>
    <row r="20" spans="1:13" x14ac:dyDescent="0.2">
      <c r="A20" s="7" t="s">
        <v>59</v>
      </c>
      <c r="K20" s="5">
        <v>920000</v>
      </c>
      <c r="L20" s="10"/>
      <c r="M20" s="5">
        <v>1950000</v>
      </c>
    </row>
    <row r="22" spans="1:13" ht="14.25" thickBot="1" x14ac:dyDescent="0.25">
      <c r="A22" s="7" t="s">
        <v>60</v>
      </c>
      <c r="K22" s="6">
        <f>SUM(K18:K20)</f>
        <v>1740000</v>
      </c>
      <c r="M22" s="6">
        <f>SUM(M18:M20)</f>
        <v>920000</v>
      </c>
    </row>
    <row r="23" spans="1:13" ht="14.25" thickTop="1" x14ac:dyDescent="0.2"/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3"/>
  <sheetViews>
    <sheetView showGridLines="0" workbookViewId="0">
      <selection activeCell="C9" sqref="C9"/>
    </sheetView>
  </sheetViews>
  <sheetFormatPr defaultRowHeight="15" x14ac:dyDescent="0.25"/>
  <cols>
    <col min="3" max="3" width="5" customWidth="1"/>
    <col min="5" max="5" width="11.7109375" customWidth="1"/>
  </cols>
  <sheetData>
    <row r="3" spans="1:5" x14ac:dyDescent="0.25">
      <c r="A3" s="13" t="s">
        <v>83</v>
      </c>
      <c r="B3" s="13"/>
      <c r="C3" s="13"/>
      <c r="D3" s="13" t="s">
        <v>87</v>
      </c>
      <c r="E3" s="13"/>
    </row>
    <row r="4" spans="1:5" x14ac:dyDescent="0.25">
      <c r="A4" s="1" t="s">
        <v>96</v>
      </c>
      <c r="B4" s="1"/>
      <c r="C4" s="14"/>
      <c r="D4" s="1" t="s">
        <v>110</v>
      </c>
      <c r="E4" s="1"/>
    </row>
    <row r="5" spans="1:5" x14ac:dyDescent="0.25">
      <c r="A5" s="1" t="s">
        <v>97</v>
      </c>
      <c r="B5" s="1"/>
      <c r="C5" s="14"/>
      <c r="D5" s="1" t="s">
        <v>110</v>
      </c>
      <c r="E5" s="1"/>
    </row>
    <row r="6" spans="1:5" x14ac:dyDescent="0.25">
      <c r="A6" s="15" t="s">
        <v>98</v>
      </c>
      <c r="B6" s="1"/>
      <c r="C6" s="14"/>
      <c r="D6" s="15" t="s">
        <v>110</v>
      </c>
      <c r="E6" s="1"/>
    </row>
    <row r="7" spans="1:5" x14ac:dyDescent="0.25">
      <c r="A7" s="7" t="s">
        <v>84</v>
      </c>
      <c r="B7" s="7"/>
      <c r="C7" s="14"/>
      <c r="D7" s="7" t="s">
        <v>85</v>
      </c>
      <c r="E7" s="7"/>
    </row>
    <row r="8" spans="1:5" x14ac:dyDescent="0.25">
      <c r="A8" s="7" t="s">
        <v>99</v>
      </c>
      <c r="B8" s="7"/>
      <c r="C8" s="14"/>
      <c r="D8" s="7" t="s">
        <v>86</v>
      </c>
      <c r="E8" s="7"/>
    </row>
    <row r="9" spans="1:5" x14ac:dyDescent="0.25">
      <c r="A9" s="7" t="s">
        <v>100</v>
      </c>
      <c r="B9" s="7"/>
      <c r="C9" s="14"/>
      <c r="D9" s="7" t="s">
        <v>86</v>
      </c>
      <c r="E9" s="7"/>
    </row>
    <row r="10" spans="1:5" x14ac:dyDescent="0.25">
      <c r="A10" s="7" t="s">
        <v>109</v>
      </c>
      <c r="B10" s="7"/>
      <c r="C10" s="14"/>
      <c r="D10" s="7" t="s">
        <v>86</v>
      </c>
      <c r="E10" s="7"/>
    </row>
    <row r="11" spans="1:5" x14ac:dyDescent="0.25">
      <c r="A11" s="7" t="s">
        <v>103</v>
      </c>
      <c r="B11" s="7"/>
      <c r="C11" s="14"/>
      <c r="D11" s="7" t="s">
        <v>110</v>
      </c>
      <c r="E11" s="7"/>
    </row>
    <row r="12" spans="1:5" x14ac:dyDescent="0.25">
      <c r="A12" s="7" t="s">
        <v>43</v>
      </c>
      <c r="B12" s="7"/>
      <c r="C12" s="14"/>
      <c r="D12" s="7" t="s">
        <v>85</v>
      </c>
      <c r="E12" s="7"/>
    </row>
    <row r="13" spans="1:5" x14ac:dyDescent="0.25">
      <c r="A13" s="7" t="s">
        <v>102</v>
      </c>
      <c r="B13" s="7"/>
      <c r="C13" s="14"/>
      <c r="D13" s="7" t="s">
        <v>110</v>
      </c>
      <c r="E13" s="7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workbookViewId="0">
      <selection activeCell="F14" sqref="F14"/>
    </sheetView>
  </sheetViews>
  <sheetFormatPr defaultRowHeight="15" x14ac:dyDescent="0.25"/>
  <cols>
    <col min="1" max="1" width="2.85546875" customWidth="1"/>
    <col min="2" max="2" width="3.140625" customWidth="1"/>
    <col min="8" max="8" width="6.85546875" customWidth="1"/>
    <col min="9" max="9" width="14.28515625" bestFit="1" customWidth="1"/>
    <col min="10" max="10" width="2.85546875" customWidth="1"/>
    <col min="11" max="11" width="14.28515625" customWidth="1"/>
  </cols>
  <sheetData>
    <row r="1" spans="1:11" x14ac:dyDescent="0.25">
      <c r="A1" s="7" t="s">
        <v>78</v>
      </c>
      <c r="B1" s="7"/>
      <c r="C1" s="7"/>
      <c r="D1" s="7"/>
      <c r="E1" s="7"/>
      <c r="F1" s="7"/>
      <c r="G1" s="7"/>
      <c r="H1" s="7"/>
      <c r="I1" s="2" t="s">
        <v>18</v>
      </c>
      <c r="J1" s="7"/>
      <c r="K1" s="2" t="s">
        <v>18</v>
      </c>
    </row>
    <row r="2" spans="1:11" x14ac:dyDescent="0.25">
      <c r="A2" s="7"/>
      <c r="B2" s="7" t="s">
        <v>1</v>
      </c>
      <c r="C2" s="7"/>
      <c r="D2" s="7"/>
      <c r="E2" s="7"/>
      <c r="F2" s="7"/>
      <c r="G2" s="7"/>
      <c r="H2" s="7"/>
      <c r="I2" s="9">
        <v>1740000</v>
      </c>
      <c r="J2" s="10"/>
      <c r="K2" s="9">
        <v>920000</v>
      </c>
    </row>
    <row r="3" spans="1:11" x14ac:dyDescent="0.25">
      <c r="A3" s="7"/>
      <c r="B3" s="7" t="s">
        <v>19</v>
      </c>
      <c r="C3" s="7"/>
      <c r="D3" s="7"/>
      <c r="E3" s="7"/>
      <c r="F3" s="7"/>
      <c r="G3" s="7"/>
      <c r="H3" s="7"/>
      <c r="I3" s="10">
        <v>244000</v>
      </c>
      <c r="J3" s="10"/>
      <c r="K3" s="10">
        <v>409000</v>
      </c>
    </row>
    <row r="4" spans="1:11" x14ac:dyDescent="0.25">
      <c r="A4" s="7"/>
      <c r="B4" s="7" t="s">
        <v>4</v>
      </c>
      <c r="C4" s="7"/>
      <c r="D4" s="7"/>
      <c r="E4" s="7"/>
      <c r="F4" s="7"/>
      <c r="G4" s="7"/>
      <c r="H4" s="7"/>
      <c r="I4" s="5">
        <v>1158000</v>
      </c>
      <c r="J4" s="10"/>
      <c r="K4" s="5">
        <v>677000</v>
      </c>
    </row>
    <row r="5" spans="1:11" x14ac:dyDescent="0.25">
      <c r="A5" s="7"/>
      <c r="B5" s="7"/>
      <c r="C5" s="7"/>
      <c r="D5" s="7"/>
      <c r="E5" s="7"/>
      <c r="F5" s="7"/>
      <c r="G5" s="7"/>
      <c r="H5" s="18" t="s">
        <v>81</v>
      </c>
      <c r="I5" s="10">
        <f>SUM(I2:I4)</f>
        <v>3142000</v>
      </c>
      <c r="J5" s="10"/>
      <c r="K5" s="10">
        <f>SUM(K2:K4)</f>
        <v>2006000</v>
      </c>
    </row>
    <row r="6" spans="1:11" x14ac:dyDescent="0.25">
      <c r="A6" s="7"/>
      <c r="B6" s="7"/>
      <c r="C6" s="7"/>
      <c r="D6" s="7"/>
      <c r="E6" s="7"/>
      <c r="F6" s="7"/>
      <c r="G6" s="7"/>
      <c r="H6" s="18"/>
      <c r="I6" s="10"/>
      <c r="J6" s="10"/>
      <c r="K6" s="10"/>
    </row>
    <row r="7" spans="1:11" x14ac:dyDescent="0.25">
      <c r="A7" s="7" t="s">
        <v>79</v>
      </c>
      <c r="B7" s="7"/>
      <c r="C7" s="7"/>
      <c r="D7" s="7"/>
      <c r="E7" s="7"/>
      <c r="F7" s="7"/>
      <c r="G7" s="7"/>
      <c r="H7" s="7"/>
      <c r="I7" s="10"/>
      <c r="J7" s="10"/>
      <c r="K7" s="10"/>
    </row>
    <row r="8" spans="1:11" x14ac:dyDescent="0.25">
      <c r="A8" s="7"/>
      <c r="B8" s="7" t="s">
        <v>80</v>
      </c>
      <c r="C8" s="7"/>
      <c r="D8" s="7"/>
      <c r="E8" s="7"/>
      <c r="F8" s="7"/>
      <c r="G8" s="7"/>
      <c r="H8" s="7"/>
      <c r="I8" s="10">
        <v>1045000</v>
      </c>
      <c r="J8" s="10"/>
      <c r="K8" s="10">
        <v>1192000</v>
      </c>
    </row>
    <row r="9" spans="1:11" x14ac:dyDescent="0.25">
      <c r="A9" s="7"/>
      <c r="B9" s="7" t="s">
        <v>113</v>
      </c>
      <c r="C9" s="7"/>
      <c r="D9" s="7"/>
      <c r="E9" s="7"/>
      <c r="F9" s="7"/>
      <c r="G9" s="7"/>
      <c r="H9" s="7"/>
    </row>
    <row r="10" spans="1:11" x14ac:dyDescent="0.25">
      <c r="A10" s="7"/>
      <c r="B10" s="7"/>
      <c r="C10" s="7" t="s">
        <v>114</v>
      </c>
      <c r="D10" s="7"/>
      <c r="E10" s="7"/>
      <c r="F10" s="7"/>
      <c r="G10" s="7"/>
      <c r="H10" s="7"/>
      <c r="I10" s="10">
        <v>0</v>
      </c>
      <c r="J10" s="10"/>
      <c r="K10" s="10">
        <v>-7000</v>
      </c>
    </row>
    <row r="11" spans="1:11" x14ac:dyDescent="0.25">
      <c r="A11" s="7"/>
      <c r="B11" s="7" t="s">
        <v>116</v>
      </c>
      <c r="C11" s="7"/>
      <c r="D11" s="7"/>
      <c r="E11" s="7"/>
      <c r="F11" s="7"/>
      <c r="G11" s="7"/>
      <c r="H11" s="7"/>
      <c r="I11" s="5">
        <v>205000</v>
      </c>
      <c r="J11" s="10"/>
      <c r="K11" s="5">
        <v>130000</v>
      </c>
    </row>
    <row r="12" spans="1:11" x14ac:dyDescent="0.25">
      <c r="A12" s="7"/>
      <c r="B12" s="7"/>
      <c r="C12" s="7"/>
      <c r="D12" s="7"/>
      <c r="E12" s="7"/>
      <c r="F12" s="7"/>
      <c r="G12" s="7"/>
      <c r="H12" s="7"/>
      <c r="I12" s="19">
        <f>SUM(I8:I11)</f>
        <v>1250000</v>
      </c>
      <c r="J12" s="7"/>
      <c r="K12" s="19">
        <f>SUM(K8:K11)</f>
        <v>1315000</v>
      </c>
    </row>
    <row r="13" spans="1:11" x14ac:dyDescent="0.25">
      <c r="A13" s="7" t="s">
        <v>95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15.75" thickBot="1" x14ac:dyDescent="0.3">
      <c r="A14" s="7"/>
      <c r="B14" s="7" t="s">
        <v>82</v>
      </c>
      <c r="C14" s="7"/>
      <c r="D14" s="7"/>
      <c r="E14" s="7"/>
      <c r="F14" s="7"/>
      <c r="G14" s="7"/>
      <c r="H14" s="7"/>
      <c r="I14" s="6">
        <f>I5-I12</f>
        <v>1892000</v>
      </c>
      <c r="J14" s="7"/>
      <c r="K14" s="6">
        <f>K5-K12</f>
        <v>691000</v>
      </c>
    </row>
    <row r="15" spans="1:11" ht="15.75" thickTop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2"/>
  <sheetViews>
    <sheetView showGridLines="0" workbookViewId="0">
      <selection activeCell="A5" sqref="A5"/>
    </sheetView>
  </sheetViews>
  <sheetFormatPr defaultColWidth="9.140625" defaultRowHeight="13.5" x14ac:dyDescent="0.2"/>
  <cols>
    <col min="1" max="3" width="9.140625" style="7"/>
    <col min="4" max="4" width="12.28515625" style="7" bestFit="1" customWidth="1"/>
    <col min="5" max="5" width="2.85546875" style="7" customWidth="1"/>
    <col min="6" max="6" width="11.7109375" style="7" customWidth="1"/>
    <col min="7" max="9" width="9.140625" style="7"/>
    <col min="10" max="10" width="2.85546875" style="7" customWidth="1"/>
    <col min="11" max="13" width="9.140625" style="7"/>
    <col min="14" max="14" width="14.28515625" style="7" bestFit="1" customWidth="1"/>
    <col min="15" max="15" width="2.85546875" style="7" customWidth="1"/>
    <col min="16" max="16" width="11.7109375" style="7" customWidth="1"/>
    <col min="17" max="17" width="2.85546875" style="7" customWidth="1"/>
    <col min="18" max="18" width="11.7109375" style="7" customWidth="1"/>
    <col min="19" max="23" width="9.140625" style="7"/>
    <col min="24" max="24" width="12.5703125" style="7" bestFit="1" customWidth="1"/>
    <col min="25" max="25" width="2.85546875" style="7" customWidth="1"/>
    <col min="26" max="26" width="9.140625" style="7"/>
    <col min="27" max="27" width="2.85546875" style="7" customWidth="1"/>
    <col min="28" max="28" width="9.140625" style="7"/>
    <col min="29" max="29" width="2.85546875" style="7" customWidth="1"/>
    <col min="30" max="30" width="12.5703125" style="7" bestFit="1" customWidth="1"/>
    <col min="31" max="16384" width="9.140625" style="7"/>
  </cols>
  <sheetData>
    <row r="1" spans="1:38" x14ac:dyDescent="0.2">
      <c r="D1" s="2" t="s">
        <v>18</v>
      </c>
      <c r="F1" s="2" t="s">
        <v>18</v>
      </c>
    </row>
    <row r="2" spans="1:38" x14ac:dyDescent="0.2">
      <c r="A2" s="7" t="s">
        <v>66</v>
      </c>
      <c r="D2" s="9">
        <v>0</v>
      </c>
      <c r="F2" s="9">
        <v>2000</v>
      </c>
      <c r="N2" s="28" t="s">
        <v>18</v>
      </c>
      <c r="O2" s="28"/>
      <c r="P2" s="28"/>
      <c r="Q2" s="28"/>
      <c r="R2" s="28"/>
    </row>
    <row r="3" spans="1:38" x14ac:dyDescent="0.2">
      <c r="A3" s="7" t="s">
        <v>67</v>
      </c>
      <c r="D3" s="10">
        <v>91000</v>
      </c>
      <c r="E3" s="10"/>
      <c r="F3" s="10">
        <v>122000</v>
      </c>
      <c r="N3" s="16" t="s">
        <v>39</v>
      </c>
      <c r="O3" s="16"/>
      <c r="P3" s="16" t="s">
        <v>40</v>
      </c>
      <c r="Q3" s="16"/>
      <c r="R3" s="16"/>
    </row>
    <row r="4" spans="1:38" x14ac:dyDescent="0.2">
      <c r="A4" s="7" t="s">
        <v>115</v>
      </c>
      <c r="D4" s="10">
        <v>598000</v>
      </c>
      <c r="E4" s="10"/>
      <c r="F4" s="10">
        <v>310000</v>
      </c>
      <c r="N4" s="2" t="s">
        <v>37</v>
      </c>
      <c r="O4" s="16"/>
      <c r="P4" s="2" t="s">
        <v>37</v>
      </c>
      <c r="Q4" s="16"/>
      <c r="R4" s="2" t="s">
        <v>38</v>
      </c>
    </row>
    <row r="5" spans="1:38" x14ac:dyDescent="0.2">
      <c r="A5" s="7" t="s">
        <v>68</v>
      </c>
      <c r="D5" s="10">
        <v>58000</v>
      </c>
      <c r="E5" s="10"/>
      <c r="F5" s="10">
        <v>34000</v>
      </c>
      <c r="J5" s="7" t="s">
        <v>24</v>
      </c>
      <c r="N5" s="9">
        <v>20000</v>
      </c>
      <c r="P5" s="9">
        <v>9000</v>
      </c>
      <c r="R5" s="9">
        <f>SUM(N5:P5)</f>
        <v>29000</v>
      </c>
    </row>
    <row r="6" spans="1:38" x14ac:dyDescent="0.2">
      <c r="A6" s="7" t="s">
        <v>94</v>
      </c>
      <c r="D6" s="5">
        <v>411000</v>
      </c>
      <c r="E6" s="10"/>
      <c r="F6" s="5">
        <v>209000</v>
      </c>
      <c r="J6" s="7" t="s">
        <v>69</v>
      </c>
      <c r="N6" s="10">
        <v>5000</v>
      </c>
      <c r="O6" s="10"/>
      <c r="P6" s="10"/>
      <c r="Q6" s="10"/>
      <c r="R6" s="10">
        <f>SUM(N6:P6)</f>
        <v>5000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x14ac:dyDescent="0.2">
      <c r="D7" s="10"/>
      <c r="E7" s="10"/>
      <c r="F7" s="10"/>
      <c r="J7" s="7" t="s">
        <v>70</v>
      </c>
      <c r="N7" s="10">
        <v>-33000</v>
      </c>
      <c r="O7" s="10"/>
      <c r="P7" s="10">
        <v>-9000</v>
      </c>
      <c r="Q7" s="10"/>
      <c r="R7" s="10">
        <f>SUM(N7:P7)</f>
        <v>-42000</v>
      </c>
      <c r="U7" s="1"/>
      <c r="V7" s="1"/>
      <c r="W7" s="1"/>
      <c r="X7" s="1"/>
      <c r="Y7" s="1"/>
      <c r="Z7" s="1"/>
      <c r="AA7" s="1"/>
      <c r="AB7" s="1"/>
      <c r="AC7" s="1"/>
      <c r="AD7" s="8"/>
      <c r="AE7" s="1"/>
      <c r="AF7" s="1"/>
      <c r="AG7" s="1"/>
      <c r="AH7" s="1"/>
      <c r="AI7" s="1"/>
      <c r="AJ7" s="1"/>
      <c r="AK7" s="1"/>
      <c r="AL7" s="1"/>
    </row>
    <row r="8" spans="1:38" ht="14.25" thickBot="1" x14ac:dyDescent="0.25">
      <c r="D8" s="6">
        <f>SUM(D2:D6)</f>
        <v>1158000</v>
      </c>
      <c r="F8" s="6">
        <f>SUM(F2:F6)</f>
        <v>677000</v>
      </c>
      <c r="J8" s="7" t="s">
        <v>71</v>
      </c>
      <c r="N8" s="5">
        <v>-1000</v>
      </c>
      <c r="O8" s="10"/>
      <c r="P8" s="5"/>
      <c r="Q8" s="10"/>
      <c r="R8" s="5">
        <f>SUM(N8:P8)</f>
        <v>-1000</v>
      </c>
      <c r="U8" s="1"/>
      <c r="V8" s="1"/>
      <c r="W8" s="1"/>
      <c r="X8" s="1"/>
      <c r="Y8" s="1"/>
      <c r="Z8" s="1"/>
      <c r="AA8" s="1"/>
      <c r="AB8" s="1"/>
      <c r="AC8" s="1"/>
      <c r="AD8" s="3"/>
      <c r="AE8" s="1"/>
      <c r="AF8" s="1"/>
      <c r="AG8" s="1"/>
      <c r="AH8" s="1"/>
      <c r="AI8" s="1"/>
      <c r="AJ8" s="1"/>
      <c r="AK8" s="1"/>
      <c r="AL8" s="1"/>
    </row>
    <row r="9" spans="1:38" ht="14.25" thickTop="1" x14ac:dyDescent="0.2">
      <c r="N9" s="10"/>
      <c r="O9" s="10"/>
      <c r="P9" s="10"/>
      <c r="Q9" s="10"/>
      <c r="R9" s="10"/>
      <c r="U9" s="1"/>
      <c r="V9" s="1"/>
      <c r="W9" s="1"/>
      <c r="X9" s="8"/>
      <c r="Y9" s="1"/>
      <c r="Z9" s="8"/>
      <c r="AA9" s="1"/>
      <c r="AB9" s="8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4.25" thickBot="1" x14ac:dyDescent="0.25">
      <c r="K10" s="7" t="s">
        <v>72</v>
      </c>
      <c r="N10" s="6">
        <f>SUM(N5:N8)</f>
        <v>-9000</v>
      </c>
      <c r="O10" s="10"/>
      <c r="P10" s="6">
        <f>SUM(P5:P8)</f>
        <v>0</v>
      </c>
      <c r="Q10" s="10"/>
      <c r="R10" s="6">
        <f>SUM(R5:R8)</f>
        <v>-9000</v>
      </c>
      <c r="U10" s="1"/>
      <c r="V10" s="1"/>
      <c r="W10" s="1"/>
      <c r="X10" s="3"/>
      <c r="Y10" s="1"/>
      <c r="Z10" s="3"/>
      <c r="AA10" s="1"/>
      <c r="AB10" s="3"/>
      <c r="AC10" s="1"/>
      <c r="AD10" s="3"/>
      <c r="AE10" s="1"/>
      <c r="AF10" s="1"/>
      <c r="AG10" s="1"/>
      <c r="AH10" s="1"/>
      <c r="AI10" s="1"/>
      <c r="AJ10" s="1"/>
      <c r="AK10" s="1"/>
      <c r="AL10" s="1"/>
    </row>
    <row r="11" spans="1:38" ht="14.25" thickTop="1" x14ac:dyDescent="0.2">
      <c r="N11" s="10"/>
      <c r="O11" s="10"/>
      <c r="P11" s="10"/>
      <c r="Q11" s="10"/>
      <c r="R11" s="10"/>
      <c r="U11" s="1"/>
      <c r="V11" s="1"/>
      <c r="W11" s="1"/>
      <c r="X11" s="4"/>
      <c r="Y11" s="4"/>
      <c r="Z11" s="4"/>
      <c r="AA11" s="4"/>
      <c r="AB11" s="4"/>
      <c r="AC11" s="4"/>
      <c r="AD11" s="4"/>
      <c r="AE11" s="1"/>
      <c r="AF11" s="1"/>
      <c r="AG11" s="1"/>
      <c r="AH11" s="1"/>
      <c r="AI11" s="1"/>
      <c r="AJ11" s="1"/>
      <c r="AK11" s="1"/>
      <c r="AL11" s="1"/>
    </row>
    <row r="12" spans="1:38" x14ac:dyDescent="0.2"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x14ac:dyDescent="0.2">
      <c r="N13" s="28" t="s">
        <v>18</v>
      </c>
      <c r="O13" s="28"/>
      <c r="P13" s="28"/>
      <c r="Q13" s="28"/>
      <c r="R13" s="28"/>
      <c r="U13" s="1"/>
      <c r="V13" s="1"/>
      <c r="W13" s="1"/>
      <c r="X13" s="17"/>
      <c r="Y13" s="1"/>
      <c r="Z13" s="17"/>
      <c r="AA13" s="1"/>
      <c r="AB13" s="17"/>
      <c r="AC13" s="1"/>
      <c r="AD13" s="17"/>
      <c r="AE13" s="1"/>
      <c r="AF13" s="1"/>
      <c r="AG13" s="1"/>
      <c r="AH13" s="1"/>
      <c r="AI13" s="1"/>
      <c r="AJ13" s="1"/>
      <c r="AK13" s="1"/>
      <c r="AL13" s="1"/>
    </row>
    <row r="14" spans="1:38" x14ac:dyDescent="0.2">
      <c r="N14" s="16" t="s">
        <v>39</v>
      </c>
      <c r="O14" s="16"/>
      <c r="P14" s="16" t="s">
        <v>40</v>
      </c>
      <c r="Q14" s="16"/>
      <c r="R14" s="16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x14ac:dyDescent="0.2">
      <c r="N15" s="2" t="s">
        <v>37</v>
      </c>
      <c r="O15" s="16"/>
      <c r="P15" s="2" t="s">
        <v>37</v>
      </c>
      <c r="Q15" s="16"/>
      <c r="R15" s="2" t="s">
        <v>38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x14ac:dyDescent="0.2">
      <c r="J16" s="7" t="s">
        <v>24</v>
      </c>
      <c r="N16" s="9">
        <v>13000</v>
      </c>
      <c r="P16" s="9">
        <v>0</v>
      </c>
      <c r="R16" s="9">
        <f>SUM(N16:P16)</f>
        <v>13000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0:38" x14ac:dyDescent="0.2">
      <c r="J17" s="7" t="s">
        <v>69</v>
      </c>
      <c r="N17" s="10">
        <v>1000</v>
      </c>
      <c r="O17" s="10"/>
      <c r="P17" s="10"/>
      <c r="Q17" s="10"/>
      <c r="R17" s="10">
        <f>SUM(N17:P17)</f>
        <v>1000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0:38" x14ac:dyDescent="0.2">
      <c r="J18" s="7" t="s">
        <v>74</v>
      </c>
      <c r="N18" s="10">
        <v>6000</v>
      </c>
      <c r="O18" s="10"/>
      <c r="P18" s="10">
        <v>3000</v>
      </c>
      <c r="Q18" s="10"/>
      <c r="R18" s="10">
        <f>SUM(N18:P18)</f>
        <v>9000</v>
      </c>
    </row>
    <row r="19" spans="10:38" x14ac:dyDescent="0.2">
      <c r="J19" s="7" t="s">
        <v>71</v>
      </c>
      <c r="N19" s="5">
        <v>-1000</v>
      </c>
      <c r="O19" s="10"/>
      <c r="P19" s="5"/>
      <c r="Q19" s="10"/>
      <c r="R19" s="5">
        <f>SUM(N19:P19)</f>
        <v>-1000</v>
      </c>
    </row>
    <row r="20" spans="10:38" x14ac:dyDescent="0.2">
      <c r="N20" s="10"/>
      <c r="O20" s="10"/>
      <c r="P20" s="10"/>
      <c r="Q20" s="10"/>
      <c r="R20" s="10"/>
    </row>
    <row r="21" spans="10:38" ht="14.25" thickBot="1" x14ac:dyDescent="0.25">
      <c r="K21" s="7" t="s">
        <v>73</v>
      </c>
      <c r="N21" s="6">
        <f>SUM(N16:N19)</f>
        <v>19000</v>
      </c>
      <c r="O21" s="10"/>
      <c r="P21" s="6">
        <f>SUM(P16:P19)</f>
        <v>3000</v>
      </c>
      <c r="Q21" s="10"/>
      <c r="R21" s="6">
        <f>SUM(R16:R19)</f>
        <v>22000</v>
      </c>
    </row>
    <row r="22" spans="10:38" ht="14.25" thickTop="1" x14ac:dyDescent="0.2"/>
  </sheetData>
  <mergeCells count="2">
    <mergeCell ref="N2:R2"/>
    <mergeCell ref="N13:R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Statement of financial position</vt:lpstr>
      <vt:lpstr>Statement of activities - CY</vt:lpstr>
      <vt:lpstr>Statement of activities - PY</vt:lpstr>
      <vt:lpstr>Statements of Functional Expens</vt:lpstr>
      <vt:lpstr>Statement of cash flows indirec</vt:lpstr>
      <vt:lpstr>Statement of cash flows direct</vt:lpstr>
      <vt:lpstr>Accounting policies</vt:lpstr>
      <vt:lpstr>Liquidity</vt:lpstr>
      <vt:lpstr>Investment footnote</vt:lpstr>
      <vt:lpstr>Net Assets footnote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Britton</dc:creator>
  <cp:lastModifiedBy>AICPA</cp:lastModifiedBy>
  <dcterms:created xsi:type="dcterms:W3CDTF">2017-08-24T11:01:49Z</dcterms:created>
  <dcterms:modified xsi:type="dcterms:W3CDTF">2017-12-04T15:59:38Z</dcterms:modified>
</cp:coreProperties>
</file>